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yjBEs6dIELwDcCbYrtU3g2hZgsIV4+F/SC/1W3lJyDEXi6zYx4KFY0Z64cDMHmZYZuVm6VJg2iA2NJxYSRS3UA==" workbookSaltValue="uYDHJq245hGmSmRwOWsU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<sst xmlns="http://schemas.openxmlformats.org/spreadsheetml/2006/main" count="2102" uniqueCount="918">
  <si>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</si>
  <si>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</si>
  <si>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</si>
  <si>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</si>
  <si>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</si>
  <si>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</si>
  <si>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</si>
  <si>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</si>
  <si>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</si>
  <si>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</si>
  <si>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</si>
  <si>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</si>
  <si>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</si>
  <si>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</si>
  <si>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</si>
  <si>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</si>
  <si>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</si>
  <si>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</si>
  <si>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</si>
  <si>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</si>
  <si>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</si>
  <si>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</si>
  <si>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</si>
  <si>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</si>
  <si>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</si>
  <si>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</si>
  <si>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</si>
  <si>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</si>
  <si>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</si>
  <si>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</si>
  <si>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</si>
  <si>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</si>
  <si>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</si>
  <si>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</si>
  <si>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</si>
  <si>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</si>
  <si>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</si>
  <si>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</si>
  <si>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</si>
  <si>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</si>
  <si>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</si>
  <si>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</si>
  <si>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</si>
  <si>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</si>
  <si>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</si>
  <si>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</si>
  <si>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</si>
  <si>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</si>
  <si>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</si>
  <si>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</si>
  <si>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</si>
  <si>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</si>
  <si>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</si>
  <si>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</si>
  <si>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</si>
  <si>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</si>
  <si>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</si>
  <si>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</si>
  <si>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</si>
  <si>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</si>
  <si>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</si>
  <si>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</si>
  <si>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</si>
  <si>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</si>
  <si>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</si>
  <si>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</si>
  <si>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</si>
  <si>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</si>
  <si>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</si>
  <si>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</si>
  <si>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</si>
  <si>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</si>
  <si>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</si>
  <si>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</si>
  <si>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</si>
  <si>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</si>
  <si>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</si>
  <si>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</si>
  <si>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</si>
  <si>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</si>
  <si>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</si>
  <si>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</si>
  <si>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</si>
  <si>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</si>
  <si>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</si>
  <si>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</si>
  <si>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</si>
  <si>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</si>
  <si>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</si>
  <si>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</si>
  <si>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</si>
  <si>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</si>
  <si>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</si>
  <si>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</si>
  <si>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</si>
  <si>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</si>
  <si>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</si>
  <si>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</si>
  <si>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</si>
  <si>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</si>
  <si>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</si>
  <si>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</si>
  <si>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</si>
  <si>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</si>
  <si>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</si>
  <si>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</si>
  <si>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</si>
  <si>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</si>
  <si>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</si>
  <si>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</si>
  <si>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</si>
  <si>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</si>
  <si>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</si>
  <si>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</si>
  <si>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</si>
  <si>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</si>
  <si>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</si>
  <si>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</si>
  <si>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</si>
  <si>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</si>
  <si>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</si>
  <si>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</si>
  <si>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</si>
  <si>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</si>
  <si>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</si>
  <si>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</si>
  <si>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</si>
  <si>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</si>
  <si>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</si>
  <si>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</si>
  <si>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</si>
  <si>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</si>
  <si>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</si>
  <si>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</si>
  <si>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</si>
  <si>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</si>
  <si>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</si>
  <si>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</si>
  <si>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</si>
  <si>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</si>
  <si>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</si>
  <si>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</si>
  <si>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</si>
  <si>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</si>
  <si>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</si>
  <si>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</si>
  <si>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</si>
  <si>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</si>
  <si>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</si>
  <si>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</si>
  <si>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</si>
  <si>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</si>
  <si>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</si>
  <si>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</si>
  <si>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</si>
  <si>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</si>
  <si>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</si>
  <si>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</si>
  <si>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</si>
  <si>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</si>
  <si>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</si>
  <si>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</si>
  <si>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</si>
  <si>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</si>
  <si>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</si>
  <si>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</si>
  <si>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</si>
  <si>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</si>
  <si>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</si>
  <si>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</si>
  <si>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</si>
  <si>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</si>
  <si>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</si>
  <si>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</si>
  <si>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</si>
  <si>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</si>
  <si>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</si>
  <si>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</si>
  <si>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</si>
  <si>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</si>
  <si>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</si>
  <si>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</si>
  <si>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</si>
  <si>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</si>
  <si>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</si>
  <si>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</si>
  <si>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</si>
  <si>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</si>
  <si>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</si>
  <si>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</si>
  <si>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</si>
  <si>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</si>
  <si>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</si>
  <si>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</si>
  <si>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</si>
  <si>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</si>
  <si>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</si>
  <si>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</si>
  <si>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</si>
  <si>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</si>
  <si>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</si>
  <si>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</si>
  <si>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</si>
  <si>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</si>
  <si>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</si>
  <si>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</si>
  <si>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</si>
  <si>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</si>
  <si>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</si>
  <si>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</si>
  <si>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</si>
  <si>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</si>
  <si>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</si>
  <si>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</si>
  <si>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</si>
  <si>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</si>
  <si>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</si>
  <si>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</si>
  <si>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</si>
  <si>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</si>
  <si>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</si>
  <si>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</si>
  <si>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</si>
  <si>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</si>
  <si>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</si>
  <si>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</si>
  <si>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</si>
  <si>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</si>
  <si>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</si>
  <si>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</si>
  <si>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</si>
  <si>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</si>
  <si>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</si>
  <si>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</si>
  <si>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</si>
  <si>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</si>
  <si>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</si>
  <si>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</si>
  <si>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</si>
  <si>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</si>
  <si>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</si>
  <si>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</si>
  <si>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</si>
  <si>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</si>
  <si>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</si>
  <si>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</si>
  <si>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</si>
  <si>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</si>
  <si>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</si>
  <si>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</si>
  <si>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</si>
  <si>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</si>
  <si>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</si>
  <si>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</si>
  <si>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</si>
  <si>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</si>
  <si>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</si>
  <si>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</si>
  <si>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</si>
  <si>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</si>
  <si>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</si>
  <si>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</si>
  <si>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</si>
  <si>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</si>
  <si>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</si>
  <si>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</si>
  <si>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</si>
  <si>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</si>
  <si>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</si>
  <si>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</si>
  <si>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</si>
  <si>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</si>
  <si>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</si>
  <si>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</si>
  <si>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</si>
  <si>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</si>
  <si>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</si>
  <si>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</si>
  <si>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</si>
  <si>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</si>
  <si>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</si>
  <si>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</si>
  <si>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</si>
  <si>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</si>
  <si>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</si>
  <si>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</si>
  <si>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</si>
  <si>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</si>
  <si>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</si>
  <si>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</si>
  <si>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</si>
  <si>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</si>
  <si>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</si>
  <si>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</si>
  <si>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</si>
  <si>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</si>
  <si>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</si>
  <si>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</si>
  <si>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</si>
  <si>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</si>
  <si>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</si>
  <si>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</si>
  <si>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</si>
  <si>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</si>
  <si>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</si>
  <si>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</si>
  <si>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</si>
  <si>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</si>
  <si>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</si>
  <si>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</si>
  <si>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</si>
  <si>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</si>
  <si>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</si>
  <si>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</si>
  <si>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</si>
  <si>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</si>
  <si>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</si>
  <si>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</si>
  <si>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</si>
  <si>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</si>
  <si>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</si>
  <si>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</si>
  <si>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</si>
  <si>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</si>
  <si>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</si>
  <si>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</si>
  <si>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</si>
  <si>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</si>
  <si>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</si>
  <si>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</si>
  <si>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</si>
  <si>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</si>
  <si>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</si>
  <si>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</si>
  <si>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</si>
  <si>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</si>
  <si>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</si>
  <si>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</si>
  <si>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</si>
  <si>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</si>
  <si>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</si>
  <si>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</si>
  <si>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</si>
  <si>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</si>
  <si>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</si>
  <si>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</si>
  <si>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</si>
  <si>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</si>
  <si>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</si>
  <si>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</si>
  <si>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</si>
  <si>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</si>
  <si>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</si>
  <si>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</si>
  <si>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</si>
  <si>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</si>
  <si>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</si>
  <si>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</si>
  <si>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</si>
  <si>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</si>
  <si>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</si>
  <si>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</si>
  <si>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</si>
  <si>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</si>
  <si>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</si>
  <si>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</si>
  <si>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</si>
  <si>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</si>
  <si>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</si>
  <si>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</si>
  <si>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</si>
  <si>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</si>
  <si>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</si>
  <si>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</si>
  <si>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</si>
  <si>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</si>
  <si>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</si>
  <si>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</si>
  <si>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</si>
  <si>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</si>
  <si>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</si>
  <si>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</si>
  <si>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</si>
  <si>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</si>
  <si>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</si>
  <si>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</si>
  <si>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</si>
  <si>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</si>
  <si>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</si>
  <si>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</si>
  <si>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</si>
  <si>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</si>
  <si>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</si>
  <si>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</si>
  <si>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</si>
  <si>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</si>
  <si>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</si>
  <si>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</si>
  <si>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</si>
  <si>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</si>
  <si>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</si>
  <si>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</si>
  <si>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</si>
  <si>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</si>
  <si>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</si>
  <si>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</si>
  <si>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</si>
  <si>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</si>
  <si>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</si>
  <si>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</si>
  <si>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</si>
  <si>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</si>
  <si>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</si>
  <si>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</si>
  <si>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</si>
  <si>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</si>
  <si>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</si>
  <si>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</si>
  <si>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</si>
  <si>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</si>
  <si>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</si>
  <si>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</si>
  <si>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</si>
  <si>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</si>
  <si>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</si>
  <si>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</si>
  <si>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</si>
  <si>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</si>
  <si>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</si>
  <si>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</si>
  <si>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</si>
  <si>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</si>
  <si>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</si>
  <si>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</si>
  <si>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</si>
  <si>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</si>
  <si>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</si>
  <si>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</si>
  <si>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</si>
  <si>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</si>
  <si>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</si>
  <si>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</si>
  <si>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</si>
  <si>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</si>
  <si>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</si>
  <si>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</si>
  <si>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</si>
  <si>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</si>
  <si>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</si>
  <si>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</si>
  <si>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</si>
  <si>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</si>
  <si>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</si>
  <si>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</si>
  <si>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</si>
  <si>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</si>
  <si>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</si>
  <si>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</si>
  <si>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</si>
  <si>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</si>
  <si>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</si>
  <si>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</si>
  <si>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</si>
  <si>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</si>
  <si>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</si>
  <si>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</si>
  <si>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</si>
  <si>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</si>
  <si>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</si>
  <si>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</si>
  <si>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</si>
  <si>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</si>
  <si>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</si>
  <si>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</si>
  <si>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</si>
  <si>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</si>
  <si>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</si>
  <si>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</si>
  <si>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</si>
  <si>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</si>
  <si>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</si>
  <si>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</si>
  <si>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</si>
  <si>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</si>
  <si>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</si>
  <si>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</si>
  <si>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</si>
  <si>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</si>
  <si>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</si>
  <si>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</si>
  <si>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</si>
  <si>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</si>
  <si>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</si>
  <si>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</si>
  <si>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</si>
  <si>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</si>
  <si>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</si>
  <si>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</si>
  <si>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</si>
  <si>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</si>
  <si>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</si>
  <si>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</si>
  <si>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</si>
  <si>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</si>
  <si>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</si>
  <si>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</si>
  <si>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</si>
  <si>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</si>
  <si>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</si>
  <si>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</si>
  <si>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</si>
  <si>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</si>
  <si>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</si>
  <si>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</si>
  <si>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</si>
  <si>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</si>
  <si>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</si>
  <si>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</si>
  <si>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</si>
  <si>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</si>
  <si>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</si>
  <si>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</si>
  <si>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</si>
  <si>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</si>
  <si>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</si>
  <si>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</si>
  <si>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</si>
  <si>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</si>
  <si>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</si>
  <si>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</si>
  <si>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</si>
  <si>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</si>
  <si>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</si>
  <si>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</si>
  <si>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</si>
  <si>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</si>
  <si>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</si>
  <si>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</si>
  <si>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</si>
  <si>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</si>
  <si>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</si>
  <si>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</si>
  <si>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</si>
  <si>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</si>
  <si>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</si>
  <si>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</si>
  <si>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</si>
  <si>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</si>
  <si>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</si>
  <si>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</si>
  <si>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</si>
  <si>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</si>
  <si>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</si>
  <si>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</si>
  <si>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</si>
  <si>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</si>
  <si>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</si>
  <si>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</si>
  <si>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</si>
  <si>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</si>
  <si>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</si>
  <si>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</si>
  <si>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</si>
  <si>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</si>
  <si>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</si>
  <si>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</si>
  <si>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</si>
  <si>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</si>
  <si>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</si>
  <si>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</si>
  <si>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</si>
  <si>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</si>
  <si>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</si>
  <si>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</si>
  <si>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</si>
  <si>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</si>
  <si>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</si>
  <si>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</si>
  <si>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</si>
  <si>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</si>
  <si>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</si>
  <si>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</si>
  <si>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</si>
  <si>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</si>
  <si>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</si>
  <si>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</si>
  <si>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</si>
  <si>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</si>
  <si>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</si>
  <si>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</si>
  <si>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</si>
  <si>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</si>
  <si>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</si>
  <si>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</si>
  <si>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</si>
  <si>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</si>
  <si>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</si>
  <si>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</si>
  <si>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</si>
  <si>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</si>
  <si>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</si>
  <si>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</si>
  <si>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</si>
  <si>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</si>
  <si>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</si>
  <si>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</si>
  <si>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</si>
  <si>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</si>
  <si>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</si>
  <si>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</si>
  <si>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</si>
  <si>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</si>
  <si>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</si>
  <si>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</si>
  <si>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</si>
  <si>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</si>
  <si>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</si>
  <si>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</si>
  <si>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</si>
  <si>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</si>
  <si>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</si>
  <si>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</si>
  <si>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</si>
  <si>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</si>
  <si>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</si>
  <si>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</si>
  <si>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</si>
  <si>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</si>
  <si>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</si>
  <si>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</si>
  <si>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</si>
  <si>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</si>
  <si>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</si>
  <si>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</si>
  <si>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</si>
  <si>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</si>
  <si>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</si>
  <si>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</si>
  <si>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</si>
  <si>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</si>
  <si>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</si>
  <si>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</si>
  <si>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</si>
  <si>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</si>
  <si>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</si>
  <si>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</si>
  <si>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</si>
  <si>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</si>
  <si>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</si>
  <si>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</si>
  <si>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</si>
  <si>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</si>
  <si>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</si>
  <si>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</si>
  <si>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</si>
  <si>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</si>
  <si>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</si>
  <si>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</si>
  <si>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</si>
  <si>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</si>
  <si>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</si>
  <si>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</si>
  <si>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</si>
  <si>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</si>
  <si>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</si>
  <si>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</si>
  <si>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</si>
  <si>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</si>
  <si>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</si>
  <si>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</si>
  <si>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</si>
  <si>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</si>
  <si>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</si>
  <si>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</si>
  <si>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</si>
  <si>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</si>
  <si>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</si>
  <si>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</si>
  <si>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</si>
  <si>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</si>
  <si>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</si>
  <si>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</si>
  <si>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</si>
  <si>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</si>
  <si>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</si>
  <si>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</si>
  <si>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</si>
  <si>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</si>
  <si>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</si>
  <si>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</si>
  <si>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</si>
  <si>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</si>
  <si>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</si>
  <si>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</si>
  <si>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</si>
  <si>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</si>
  <si>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</si>
  <si>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</si>
  <si>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</si>
  <si>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</si>
  <si>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</si>
  <si>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</si>
  <si>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</si>
  <si>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</si>
  <si>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</si>
  <si>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</si>
  <si>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</si>
  <si>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</si>
  <si>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</si>
  <si>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</si>
  <si>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</si>
  <si>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</si>
  <si>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</si>
  <si>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</si>
  <si>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</si>
  <si>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</si>
  <si>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</si>
  <si>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</si>
  <si>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</si>
  <si>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</si>
  <si>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</si>
  <si>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</si>
  <si>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</si>
  <si>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</si>
  <si>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</si>
  <si>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</si>
  <si>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</si>
  <si>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</si>
  <si>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</si>
  <si>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</si>
  <si>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</si>
  <si>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</si>
  <si>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</si>
  <si>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</si>
  <si>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</si>
  <si>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</si>
  <si>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</si>
  <si>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</si>
  <si>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</si>
  <si>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</si>
  <si>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</si>
  <si>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</si>
  <si>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</si>
  <si>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</si>
  <si>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</si>
  <si>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</si>
  <si>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</si>
  <si>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</si>
  <si>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</si>
  <si>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</si>
  <si>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</si>
  <si>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</si>
  <si>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</si>
  <si>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</si>
  <si>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</si>
  <si>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</si>
  <si>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</si>
  <si>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</si>
  <si>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</si>
  <si>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</si>
  <si>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</si>
  <si>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</si>
  <si>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</si>
  <si>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</si>
  <si>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</si>
  <si>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</si>
  <si>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</si>
  <si>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</si>
  <si>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</si>
  <si>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</si>
  <si>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</si>
  <si>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</si>
  <si>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</si>
  <si>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</si>
  <si>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</si>
  <si>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</si>
  <si>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</si>
  <si>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</si>
  <si>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</si>
  <si>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</si>
  <si>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</si>
  <si>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</si>
  <si>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</si>
  <si>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</si>
  <si>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</si>
  <si>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</si>
  <si>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</si>
  <si>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</si>
  <si>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</si>
  <si>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</si>
  <si>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</si>
  <si>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</si>
  <si>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</si>
  <si>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</si>
  <si>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</si>
  <si>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</si>
  <si>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</si>
  <si>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</si>
  <si>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</si>
  <si>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</si>
  <si>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</si>
  <si>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</si>
  <si>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</si>
  <si>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</si>
  <si>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</si>
  <si>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</si>
  <si>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</si>
  <si>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</si>
  <si>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</si>
  <si>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</si>
  <si>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</si>
  <si>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</si>
  <si>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</si>
  <si>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</si>
  <si>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</si>
  <si>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</si>
  <si>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</si>
  <si>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</si>
  <si>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</si>
  <si>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</si>
  <si>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</si>
  <si>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</si>
  <si>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</si>
  <si>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</si>
  <si>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</si>
  <si>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</si>
  <si>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</si>
  <si>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</si>
  <si>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</si>
  <si>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</si>
  <si>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</si>
  <si>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</si>
  <si>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</si>
  <si>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</si>
  <si>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</si>
  <si>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</si>
  <si>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</si>
  <si>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</si>
  <si>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</si>
  <si>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</si>
  <si>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</si>
  <si>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</si>
  <si>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</si>
  <si>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</si>
  <si>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</si>
  <si>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</si>
  <si>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</si>
  <si>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</si>
  <si>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</si>
  <si>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</si>
  <si>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</si>
  <si>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</si>
  <si>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</si>
  <si>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</si>
  <si>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</si>
  <si>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</si>
  <si>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</si>
  <si>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</si>
  <si>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</si>
  <si>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</si>
  <si>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</si>
  <si>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</si>
  <si>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</si>
  <si>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</si>
  <si>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</si>
  <si>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</si>
  <si>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</si>
  <si>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</si>
  <si>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</si>
  <si>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</si>
  <si>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</si>
  <si>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</si>
  <si>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</si>
  <si>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</si>
  <si>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</si>
  <si>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</si>
  <si>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</si>
  <si>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</si>
  <si>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</si>
  <si>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</si>
  <si>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</si>
  <si>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</si>
  <si>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</si>
  <si>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</si>
  <si>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</si>
  <si>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</si>
  <si>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</si>
  <si>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</si>
  <si>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</si>
  <si>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</si>
  <si>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</si>
  <si>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</si>
  <si>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</si>
  <si>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</si>
  <si>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</si>
  <si>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</si>
  <si>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</si>
  <si>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</si>
  <si>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</si>
  <si>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</si>
  <si>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</si>
  <si>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</si>
  <si>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</si>
  <si>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</si>
  <si>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</si>
  <si>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</si>
  <si>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</si>
  <si>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</si>
  <si>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</si>
  <si>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</si>
  <si>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</si>
  <si>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</si>
  <si>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</si>
  <si>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</si>
  <si>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</si>
  <si>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SEGOVIA</t>
  </si>
  <si>
    <t>Resumenes por Partidos Judiciales</t>
  </si>
  <si>
    <t>SEPULVEDA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</si>
</sst>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2QR11zVn2kxu5lee5NALW/M/gm3TWMknBWPs1vs1QkNaGtWG+zP78ixBQ220bV23o4Cci09LaSlvVs8rOt6hw==" saltValue="W3yKoZBDakvDlhx7Hsb9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3</v>
      </c>
      <c r="F10" s="226">
        <f>IF(ISNUMBER(Datos!K10),Datos!K10," - ")</f>
        <v>3</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11.462616822429908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296</v>
      </c>
      <c r="D16" s="225">
        <f>IF(ISNUMBER(IF(D_I="SI",Datos!I16,Datos!I16+Datos!AC16)),IF(D_I="SI",Datos!I16,Datos!I16+Datos!AC16)," - ")</f>
        <v>269</v>
      </c>
      <c r="E16" s="226">
        <f>IF(ISNUMBER(IF(D_I="SI",Datos!J16,Datos!J16+Datos!AD16)),IF(D_I="SI",Datos!J16,Datos!J16+Datos!AD16)," - ")</f>
        <v>694</v>
      </c>
      <c r="F16" s="226">
        <f>IF(ISNUMBER(IF(D_I="SI",Datos!K16,Datos!K16+Datos!AE16)),IF(D_I="SI",Datos!K16,Datos!K16+Datos!AE16)," - ")</f>
        <v>782</v>
      </c>
      <c r="G16" s="1034" t="str">
        <f>IF(Datos!E16&lt;&gt;"",Datos!E16,Datos!D16)</f>
        <v>04</v>
      </c>
      <c r="H16" s="227">
        <f>IF(ISNUMBER(IF(D_I="SI",Datos!L16,Datos!L16+Datos!AF16)),IF(D_I="SI",Datos!L16,Datos!L16+Datos!AF16)," - ")</f>
        <v>208</v>
      </c>
      <c r="I16" s="1044" t="str">
        <f>IF(ISNUMBER(Datos!AS16/Datos!BM16),Datos!AS16/Datos!BM16," - ")</f>
        <v xml:space="preserve"> - </v>
      </c>
      <c r="J16" s="1045">
        <f>IF(ISNUMBER(Datos!BY16/Datos!CN16),Datos!BY16/Datos!CN16," - ")</f>
        <v>0</v>
      </c>
      <c r="K16" s="230">
        <f t="shared" si="3"/>
        <v>-0.29729729729729731</v>
      </c>
      <c r="L16" s="1025">
        <f>IF(ISNUMBER(NºAsuntos!I16/NºAsuntos!G16),(NºAsuntos!I16/NºAsuntos!G16)*11," - ")</f>
        <v>2.925831202046036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21</v>
      </c>
      <c r="F17" s="226">
        <f>IF(ISNUMBER(IF(D_I="SI",Datos!K17,Datos!K17+Datos!AE17)),IF(D_I="SI",Datos!K17,Datos!K17+Datos!AE17)," - ")</f>
        <v>19</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5.2105263157894735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303</v>
      </c>
      <c r="D18" s="1049">
        <f>SUBTOTAL(9,D15:D17)</f>
        <v>276</v>
      </c>
      <c r="E18" s="1050">
        <f>SUBTOTAL(9,E15:E17)</f>
        <v>715</v>
      </c>
      <c r="F18" s="1050">
        <f>SUBTOTAL(9,F15:F17)</f>
        <v>801</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303</v>
      </c>
      <c r="D19" s="1071">
        <f>SUBTOTAL(9,D9:D18)</f>
        <v>276</v>
      </c>
      <c r="E19" s="1072">
        <f>SUBTOTAL(9,E9:E18)</f>
        <v>718</v>
      </c>
      <c r="F19" s="1072">
        <f>SUBTOTAL(9,F9:F18)</f>
        <v>804</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wgs7dBH1b0pcdajnxq9wl2PJxb+i5sdXfNMSTulQ0r4lt+YmuKpFXxT6s+97srgvpIAh45Gn61V9moo2itK7Q==" saltValue="gpNf3txCPX/1VE6J2feE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5kcgWQ3PD0NqMbOrFpuTqFj8av0VN6uvLBbEo7x+0fqu5TXLH13AZGDOKXH8ZIn/BkZwC0SrP7EtxqgPFJABA==" saltValue="Y1dstZVaDX+x0I3JArKw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3</v>
      </c>
      <c r="K10" s="181">
        <v>3</v>
      </c>
      <c r="L10" s="181">
        <v>0</v>
      </c>
      <c r="M10" s="181">
        <v>0</v>
      </c>
      <c r="N10" s="181">
        <v>2</v>
      </c>
      <c r="O10" s="181">
        <v>0</v>
      </c>
      <c r="P10" s="181">
        <v>0</v>
      </c>
      <c r="Q10" s="181">
        <v>0</v>
      </c>
      <c r="R10" s="181">
        <v>0</v>
      </c>
      <c r="S10" s="181">
        <v>6</v>
      </c>
      <c r="T10" s="181">
        <v>0</v>
      </c>
      <c r="U10" s="181">
        <v>6</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6</v>
      </c>
      <c r="BB10" s="129">
        <f t="shared" si="0"/>
        <v>0</v>
      </c>
      <c r="BC10" s="125">
        <f t="shared" si="0"/>
        <v>0</v>
      </c>
      <c r="BD10" s="126" t="str">
        <f>IF(ISNUMBER(BA10/AZ10),BA10/AZ10," - ")</f>
        <v xml:space="preserve"> - </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389</v>
      </c>
      <c r="J12" s="183">
        <v>793</v>
      </c>
      <c r="K12" s="183">
        <v>570</v>
      </c>
      <c r="L12" s="183">
        <v>612</v>
      </c>
      <c r="M12" s="183">
        <v>218</v>
      </c>
      <c r="N12" s="183">
        <v>161</v>
      </c>
      <c r="O12" s="181">
        <v>285</v>
      </c>
      <c r="P12" s="183">
        <v>216</v>
      </c>
      <c r="Q12" s="183">
        <v>181</v>
      </c>
      <c r="R12" s="183">
        <v>804</v>
      </c>
      <c r="S12" s="183">
        <v>310</v>
      </c>
      <c r="T12" s="183">
        <v>652</v>
      </c>
      <c r="U12" s="183">
        <v>573</v>
      </c>
      <c r="V12" s="183">
        <v>389</v>
      </c>
      <c r="W12" s="183">
        <v>134</v>
      </c>
      <c r="X12" s="189">
        <v>154</v>
      </c>
      <c r="Y12" s="191">
        <v>12</v>
      </c>
      <c r="Z12" s="181">
        <v>117</v>
      </c>
      <c r="AA12" s="181">
        <v>72</v>
      </c>
      <c r="AB12" s="181">
        <v>57</v>
      </c>
      <c r="AC12" s="183">
        <v>0</v>
      </c>
      <c r="AD12" s="183">
        <v>0</v>
      </c>
      <c r="AE12" s="183">
        <v>0</v>
      </c>
      <c r="AF12" s="189">
        <v>0</v>
      </c>
      <c r="AG12" s="202">
        <v>8</v>
      </c>
      <c r="AH12" s="183">
        <v>38</v>
      </c>
      <c r="AI12" s="183">
        <v>34</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318</v>
      </c>
      <c r="AZ12" s="127">
        <f t="shared" si="1"/>
        <v>690</v>
      </c>
      <c r="BA12" s="127">
        <f t="shared" si="1"/>
        <v>607</v>
      </c>
      <c r="BB12" s="127">
        <f t="shared" si="1"/>
        <v>401</v>
      </c>
      <c r="BC12" s="125">
        <f>IF(ISNUMBER(X12),X12," - ")</f>
        <v>154</v>
      </c>
      <c r="BD12" s="126">
        <f t="shared" si="2"/>
        <v>0.87971014492753619</v>
      </c>
      <c r="BE12" s="127">
        <f t="shared" si="3"/>
        <v>0.66062602965403627</v>
      </c>
      <c r="BF12" s="127">
        <f t="shared" si="4"/>
        <v>0.25370675453047775</v>
      </c>
      <c r="BG12" s="196">
        <f t="shared" si="5"/>
        <v>1.6606260296540363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389</v>
      </c>
      <c r="J13" s="184">
        <f t="shared" si="6"/>
        <v>796</v>
      </c>
      <c r="K13" s="184">
        <f t="shared" si="6"/>
        <v>573</v>
      </c>
      <c r="L13" s="184">
        <f t="shared" si="6"/>
        <v>612</v>
      </c>
      <c r="M13" s="184">
        <f t="shared" si="6"/>
        <v>218</v>
      </c>
      <c r="N13" s="184">
        <f t="shared" si="6"/>
        <v>163</v>
      </c>
      <c r="O13" s="184">
        <f t="shared" si="6"/>
        <v>285</v>
      </c>
      <c r="P13" s="184">
        <f t="shared" si="6"/>
        <v>216</v>
      </c>
      <c r="Q13" s="184">
        <f t="shared" si="6"/>
        <v>181</v>
      </c>
      <c r="R13" s="184">
        <f t="shared" si="6"/>
        <v>804</v>
      </c>
      <c r="S13" s="184">
        <f t="shared" si="6"/>
        <v>316</v>
      </c>
      <c r="T13" s="184">
        <f t="shared" si="6"/>
        <v>652</v>
      </c>
      <c r="U13" s="184">
        <f t="shared" si="6"/>
        <v>579</v>
      </c>
      <c r="V13" s="184">
        <f t="shared" si="6"/>
        <v>389</v>
      </c>
      <c r="W13" s="184">
        <f t="shared" si="6"/>
        <v>134</v>
      </c>
      <c r="X13" s="184">
        <f t="shared" si="6"/>
        <v>154</v>
      </c>
      <c r="Y13" s="184">
        <f t="shared" si="6"/>
        <v>12</v>
      </c>
      <c r="Z13" s="184">
        <f t="shared" si="6"/>
        <v>117</v>
      </c>
      <c r="AA13" s="184">
        <f t="shared" si="6"/>
        <v>72</v>
      </c>
      <c r="AB13" s="184">
        <f t="shared" si="6"/>
        <v>57</v>
      </c>
      <c r="AC13" s="184">
        <f t="shared" si="6"/>
        <v>0</v>
      </c>
      <c r="AD13" s="184">
        <f t="shared" si="6"/>
        <v>0</v>
      </c>
      <c r="AE13" s="184">
        <f t="shared" si="6"/>
        <v>0</v>
      </c>
      <c r="AF13" s="184">
        <f>SUBTOTAL(9,AF9:AF12)</f>
        <v>0</v>
      </c>
      <c r="AG13" s="184">
        <f t="shared" ref="AG13:AT13" si="7">SUBTOTAL(9,AG8:AG12)</f>
        <v>8</v>
      </c>
      <c r="AH13" s="184">
        <f t="shared" si="7"/>
        <v>38</v>
      </c>
      <c r="AI13" s="184">
        <f t="shared" si="7"/>
        <v>34</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324</v>
      </c>
      <c r="AZ13" s="184">
        <f>SUBTOTAL(9,AZ8:AZ12)</f>
        <v>690</v>
      </c>
      <c r="BA13" s="184">
        <f>SUBTOTAL(9,BA8:BA12)</f>
        <v>613</v>
      </c>
      <c r="BB13" s="184">
        <f>SUBTOTAL(9,BB8:BB12)</f>
        <v>401</v>
      </c>
      <c r="BC13" s="184">
        <f>SUBTOTAL(9,BC8:BC12)</f>
        <v>154</v>
      </c>
      <c r="BD13" s="205">
        <f>IF(ISNUMBER(BA13/AZ13),BA13/AZ13," - ")</f>
        <v>0.88840579710144929</v>
      </c>
      <c r="BE13" s="206">
        <f>IF(ISNUMBER(BB13/BA13),BB13/BA13, " - ")</f>
        <v>0.65415986949429039</v>
      </c>
      <c r="BF13" s="206">
        <f>IF(ISNUMBER(BC13/BA13),BC13/BA13, " - ")</f>
        <v>0.25122349102773245</v>
      </c>
      <c r="BG13" s="207">
        <f>IF(ISNUMBER((AY13+AZ13)/BA13),(AY13+AZ13)/BA13," - ")</f>
        <v>1.6541598694942903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269</v>
      </c>
      <c r="J16" s="183">
        <v>694</v>
      </c>
      <c r="K16" s="183">
        <v>782</v>
      </c>
      <c r="L16" s="183">
        <v>208</v>
      </c>
      <c r="M16" s="183">
        <v>93</v>
      </c>
      <c r="N16" s="183">
        <v>365</v>
      </c>
      <c r="O16" s="181">
        <v>21</v>
      </c>
      <c r="P16" s="183">
        <v>36</v>
      </c>
      <c r="Q16" s="183">
        <v>39</v>
      </c>
      <c r="R16" s="183">
        <v>7</v>
      </c>
      <c r="S16" s="183">
        <v>320</v>
      </c>
      <c r="T16" s="183">
        <v>743</v>
      </c>
      <c r="U16" s="183">
        <v>812</v>
      </c>
      <c r="V16" s="183">
        <v>269</v>
      </c>
      <c r="W16" s="183">
        <v>115</v>
      </c>
      <c r="X16" s="189">
        <v>394</v>
      </c>
      <c r="Y16" s="202">
        <v>0</v>
      </c>
      <c r="Z16" s="183">
        <v>0</v>
      </c>
      <c r="AA16" s="183">
        <v>0</v>
      </c>
      <c r="AB16" s="183">
        <v>0</v>
      </c>
      <c r="AC16" s="183">
        <v>0</v>
      </c>
      <c r="AD16" s="183">
        <v>1</v>
      </c>
      <c r="AE16" s="183">
        <v>1</v>
      </c>
      <c r="AF16" s="189">
        <v>0</v>
      </c>
      <c r="AG16" s="202">
        <v>0</v>
      </c>
      <c r="AH16" s="183">
        <v>0</v>
      </c>
      <c r="AI16" s="183">
        <v>0</v>
      </c>
      <c r="AJ16" s="203">
        <v>0</v>
      </c>
      <c r="AK16" s="182">
        <v>0</v>
      </c>
      <c r="AL16" s="183">
        <v>4</v>
      </c>
      <c r="AM16" s="183">
        <v>4</v>
      </c>
      <c r="AN16" s="189">
        <v>0</v>
      </c>
      <c r="AO16" s="259">
        <v>1</v>
      </c>
      <c r="AP16" s="155">
        <v>1</v>
      </c>
      <c r="AQ16" s="155">
        <v>1</v>
      </c>
      <c r="AR16" s="155">
        <v>1</v>
      </c>
      <c r="AS16" s="340" t="s">
        <v>487</v>
      </c>
      <c r="AT16" s="203"/>
      <c r="AU16" s="202"/>
      <c r="AV16" s="203"/>
      <c r="AW16" s="202"/>
      <c r="AX16" s="203"/>
      <c r="AY16" s="126">
        <f t="shared" si="9"/>
        <v>320</v>
      </c>
      <c r="AZ16" s="127">
        <f t="shared" si="9"/>
        <v>743</v>
      </c>
      <c r="BA16" s="127">
        <f t="shared" si="9"/>
        <v>812</v>
      </c>
      <c r="BB16" s="127">
        <f t="shared" si="9"/>
        <v>269</v>
      </c>
      <c r="BC16" s="125">
        <f>IF(ISNUMBER(W16),W16," - ")</f>
        <v>115</v>
      </c>
      <c r="BD16" s="126">
        <f t="shared" ref="BD16" si="11">IF(ISNUMBER(BA16/AZ16),BA16/AZ16," - ")</f>
        <v>1.0928667563930012</v>
      </c>
      <c r="BE16" s="127">
        <f t="shared" ref="BE16" si="12">IF(ISNUMBER(BB16/BA16),BB16/BA16, " - ")</f>
        <v>0.33128078817733991</v>
      </c>
      <c r="BF16" s="127">
        <f t="shared" ref="BF16" si="13">IF(ISNUMBER(BC16/BA16),BC16/BA16, " - ")</f>
        <v>0.14162561576354679</v>
      </c>
      <c r="BG16" s="196">
        <f t="shared" si="10"/>
        <v>1.3091133004926108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21</v>
      </c>
      <c r="K17" s="183">
        <v>19</v>
      </c>
      <c r="L17" s="183">
        <v>9</v>
      </c>
      <c r="M17" s="183">
        <v>0</v>
      </c>
      <c r="N17" s="183">
        <v>27</v>
      </c>
      <c r="O17" s="183">
        <v>0</v>
      </c>
      <c r="P17" s="183">
        <v>0</v>
      </c>
      <c r="Q17" s="183">
        <v>0</v>
      </c>
      <c r="R17" s="183">
        <v>0</v>
      </c>
      <c r="S17" s="183">
        <v>7</v>
      </c>
      <c r="T17" s="183">
        <v>28</v>
      </c>
      <c r="U17" s="183">
        <v>29</v>
      </c>
      <c r="V17" s="183">
        <v>7</v>
      </c>
      <c r="W17" s="183">
        <v>0</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28</v>
      </c>
      <c r="BA17" s="129">
        <f t="shared" si="14"/>
        <v>29</v>
      </c>
      <c r="BB17" s="129">
        <f t="shared" si="14"/>
        <v>7</v>
      </c>
      <c r="BC17" s="125">
        <f>IF(ISNUMBER(W17),W17," - ")</f>
        <v>0</v>
      </c>
      <c r="BD17" s="126">
        <f>IF(ISNUMBER(BA17/AZ17),BA17/AZ17," - ")</f>
        <v>1.0357142857142858</v>
      </c>
      <c r="BE17" s="127">
        <f>IF(ISNUMBER(BB17/BA17),BB17/BA17, " - ")</f>
        <v>0.2413793103448276</v>
      </c>
      <c r="BF17" s="127">
        <f>IF(ISNUMBER(BC17/BA17),BC17/BA17, " - ")</f>
        <v>0</v>
      </c>
      <c r="BG17" s="196">
        <f>IF(ISNUMBER((AY17+AZ17)/BA17),(AY17+AZ17)/BA17," - ")</f>
        <v>1.2068965517241379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276</v>
      </c>
      <c r="J18" s="184">
        <f t="shared" si="15"/>
        <v>715</v>
      </c>
      <c r="K18" s="184">
        <f t="shared" si="15"/>
        <v>801</v>
      </c>
      <c r="L18" s="184">
        <f t="shared" si="15"/>
        <v>217</v>
      </c>
      <c r="M18" s="184">
        <f t="shared" si="15"/>
        <v>93</v>
      </c>
      <c r="N18" s="184">
        <f t="shared" si="15"/>
        <v>392</v>
      </c>
      <c r="O18" s="184">
        <f t="shared" si="15"/>
        <v>21</v>
      </c>
      <c r="P18" s="184">
        <f t="shared" si="15"/>
        <v>36</v>
      </c>
      <c r="Q18" s="184">
        <f t="shared" si="15"/>
        <v>39</v>
      </c>
      <c r="R18" s="184">
        <f t="shared" si="15"/>
        <v>7</v>
      </c>
      <c r="S18" s="184">
        <f t="shared" si="15"/>
        <v>327</v>
      </c>
      <c r="T18" s="184">
        <f t="shared" si="15"/>
        <v>771</v>
      </c>
      <c r="U18" s="184">
        <f t="shared" si="15"/>
        <v>841</v>
      </c>
      <c r="V18" s="184">
        <f t="shared" si="15"/>
        <v>276</v>
      </c>
      <c r="W18" s="184">
        <f t="shared" si="15"/>
        <v>115</v>
      </c>
      <c r="X18" s="184">
        <f t="shared" si="15"/>
        <v>425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327</v>
      </c>
      <c r="AZ18" s="184">
        <f>SUBTOTAL(9,AZ14:AZ17)</f>
        <v>771</v>
      </c>
      <c r="BA18" s="184">
        <f>SUBTOTAL(9,BA14:BA17)</f>
        <v>841</v>
      </c>
      <c r="BB18" s="184">
        <f>SUBTOTAL(9,BB14:BB17)</f>
        <v>276</v>
      </c>
      <c r="BC18" s="184">
        <f>SUBTOTAL(9,BC14:BC17)</f>
        <v>115</v>
      </c>
      <c r="BD18" s="205">
        <f>IF(ISNUMBER(BA18/AZ18),BA18/AZ18," - ")</f>
        <v>1.0907911802853436</v>
      </c>
      <c r="BE18" s="206">
        <f>IF(ISNUMBER(BB18/BA18),BB18/BA18, " - ")</f>
        <v>0.32818073721759811</v>
      </c>
      <c r="BF18" s="206">
        <f>IF(ISNUMBER(BC18/BA18),BC18/BA18, " - ")</f>
        <v>0.13674197384066589</v>
      </c>
      <c r="BG18" s="207">
        <f>IF(ISNUMBER((AY18+AZ18)/BA18),(AY18+AZ18)/BA18," - ")</f>
        <v>1.3055885850178359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665</v>
      </c>
      <c r="J19" s="134">
        <f t="shared" si="18"/>
        <v>1511</v>
      </c>
      <c r="K19" s="134">
        <f t="shared" si="18"/>
        <v>1374</v>
      </c>
      <c r="L19" s="134">
        <f t="shared" si="18"/>
        <v>829</v>
      </c>
      <c r="M19" s="134">
        <f t="shared" si="18"/>
        <v>311</v>
      </c>
      <c r="N19" s="134">
        <f t="shared" si="18"/>
        <v>555</v>
      </c>
      <c r="O19" s="134">
        <f t="shared" si="18"/>
        <v>306</v>
      </c>
      <c r="P19" s="134">
        <f t="shared" si="18"/>
        <v>252</v>
      </c>
      <c r="Q19" s="134">
        <f t="shared" si="18"/>
        <v>220</v>
      </c>
      <c r="R19" s="134">
        <f t="shared" si="18"/>
        <v>811</v>
      </c>
      <c r="S19" s="134">
        <f t="shared" si="18"/>
        <v>643</v>
      </c>
      <c r="T19" s="134">
        <f t="shared" si="18"/>
        <v>1423</v>
      </c>
      <c r="U19" s="134">
        <f t="shared" si="18"/>
        <v>1420</v>
      </c>
      <c r="V19" s="134">
        <f t="shared" si="18"/>
        <v>665</v>
      </c>
      <c r="W19" s="134">
        <f t="shared" si="18"/>
        <v>249</v>
      </c>
      <c r="X19" s="134">
        <f t="shared" si="18"/>
        <v>579</v>
      </c>
      <c r="Y19" s="134">
        <f t="shared" si="18"/>
        <v>12</v>
      </c>
      <c r="Z19" s="134">
        <f t="shared" si="18"/>
        <v>117</v>
      </c>
      <c r="AA19" s="134">
        <f t="shared" si="18"/>
        <v>72</v>
      </c>
      <c r="AB19" s="134">
        <f t="shared" si="18"/>
        <v>57</v>
      </c>
      <c r="AC19" s="134">
        <f t="shared" si="18"/>
        <v>0</v>
      </c>
      <c r="AD19" s="134">
        <f t="shared" si="18"/>
        <v>1</v>
      </c>
      <c r="AE19" s="134">
        <f t="shared" si="18"/>
        <v>1</v>
      </c>
      <c r="AF19" s="134">
        <f t="shared" si="18"/>
        <v>0</v>
      </c>
      <c r="AG19" s="134">
        <f t="shared" si="18"/>
        <v>8</v>
      </c>
      <c r="AH19" s="134">
        <f t="shared" si="18"/>
        <v>38</v>
      </c>
      <c r="AI19" s="134">
        <f t="shared" si="18"/>
        <v>34</v>
      </c>
      <c r="AJ19" s="134">
        <f t="shared" si="18"/>
        <v>12</v>
      </c>
      <c r="AK19" s="134">
        <f t="shared" si="18"/>
        <v>0</v>
      </c>
      <c r="AL19" s="134">
        <f t="shared" si="18"/>
        <v>4</v>
      </c>
      <c r="AM19" s="134">
        <f t="shared" si="18"/>
        <v>4</v>
      </c>
      <c r="AN19" s="210">
        <f t="shared" si="18"/>
        <v>0</v>
      </c>
      <c r="AO19" s="211">
        <v>2</v>
      </c>
      <c r="AP19" s="211">
        <v>1</v>
      </c>
      <c r="AQ19" s="211">
        <v>1</v>
      </c>
      <c r="AR19" s="211">
        <v>1</v>
      </c>
      <c r="AS19" s="153">
        <f t="shared" si="18"/>
        <v>0</v>
      </c>
      <c r="AT19" s="153">
        <f t="shared" si="18"/>
        <v>0</v>
      </c>
      <c r="AU19" s="211"/>
      <c r="AV19" s="212"/>
      <c r="AW19" s="211"/>
      <c r="AX19" s="212"/>
      <c r="AY19" s="133">
        <f>SUBTOTAL(9,AY9:AY18)</f>
        <v>651</v>
      </c>
      <c r="AZ19" s="134">
        <f>SUBTOTAL(9,AZ9:AZ18)</f>
        <v>1461</v>
      </c>
      <c r="BA19" s="134">
        <f>SUBTOTAL(9,BA9:BA18)</f>
        <v>1454</v>
      </c>
      <c r="BB19" s="134">
        <f>SUBTOTAL(9,BB9:BB18)</f>
        <v>677</v>
      </c>
      <c r="BC19" s="135">
        <f>SUBTOTAL(9,BC9:BC18)</f>
        <v>269</v>
      </c>
      <c r="BD19" s="213">
        <f>IF(ISNUMBER(BA19/AZ19),BA19/AZ19," - ")</f>
        <v>0.99520876112251877</v>
      </c>
      <c r="BE19" s="210">
        <f>IF(ISNUMBER(BB19/BA19),BB19/BA19, " - ")</f>
        <v>0.46561210453920221</v>
      </c>
      <c r="BF19" s="210">
        <f>IF(ISNUMBER(BC19/BA19),BC19/BA19, " - ")</f>
        <v>0.18500687757909215</v>
      </c>
      <c r="BG19" s="135">
        <f>IF(ISNUMBER((AY19+AZ19)/BA19),(AY19+AZ19)/BA19," - ")</f>
        <v>1.4525447042640991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O8zz30o+NlgWaUhApHnXty4aIoxdCi5BFxOoaERnS3jN9Yix6QrzOJwrrfAE0FRcAPDUKIA/f0j0Au1wtSuCg==" saltValue="VPOy/nkPrsUwtYM4Qt9A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IuhrkjRevCgiUxiuef2FWMzbNQy557WLbNdf6G9IR8oTKzS9/jA5h5TWA8dJJ94wTS7TKRimwH3GJDlZ0p3Gg==" saltValue="rI7F9ucxokXqMln/32Eh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117</v>
      </c>
      <c r="O12" s="334"/>
      <c r="P12" s="334"/>
      <c r="Q12" s="226">
        <f>IF(ISNUMBER(Datos!P12),Datos!P12,0)</f>
        <v>216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804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218</v>
      </c>
      <c r="BD12" s="229">
        <f>IF(ISNUMBER(Datos!N12),Datos!N12," - ")</f>
        <v>161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0.70549450549450554</v>
      </c>
      <c r="BH12" s="260">
        <f>IF(ISNUMBER(((IF(J_V="SI",Datos!L12/Datos!K12,(Datos!L12+Datos!AB12)/(Datos!K12+Datos!AA12)))*11)/factor_trimestre),((IF(J_V="SI",Datos!L12/Datos!K12,(Datos!L12+Datos!AB12)/(Datos!K12+Datos!AA12)))*11)/factor_trimestre," - ")</f>
        <v>11.462616822429908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4.5513654096228866E-2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117</v>
      </c>
      <c r="O13" s="900">
        <f t="shared" si="0"/>
        <v>0</v>
      </c>
      <c r="P13" s="900">
        <f t="shared" si="0"/>
        <v>0</v>
      </c>
      <c r="Q13" s="899">
        <f t="shared" si="0"/>
        <v>216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181</v>
      </c>
      <c r="AD13" s="899">
        <f t="shared" si="1"/>
        <v>0</v>
      </c>
      <c r="AE13" s="899">
        <f t="shared" si="1"/>
        <v>0</v>
      </c>
      <c r="AF13" s="899">
        <f t="shared" si="1"/>
        <v>0</v>
      </c>
      <c r="AG13" s="899">
        <f t="shared" si="1"/>
        <v>0</v>
      </c>
      <c r="AH13" s="899">
        <f t="shared" si="1"/>
        <v>57</v>
      </c>
      <c r="AI13" s="899">
        <f t="shared" si="1"/>
        <v>0</v>
      </c>
      <c r="AJ13" s="899">
        <f t="shared" si="1"/>
        <v>0</v>
      </c>
      <c r="AK13" s="899">
        <f t="shared" si="1"/>
        <v>0</v>
      </c>
      <c r="AL13" s="899">
        <f t="shared" si="1"/>
        <v>0</v>
      </c>
      <c r="AM13" s="899">
        <f t="shared" si="1"/>
        <v>804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218</v>
      </c>
      <c r="BD13" s="899">
        <f t="shared" si="1"/>
        <v>163</v>
      </c>
      <c r="BE13" s="899">
        <f t="shared" si="1"/>
        <v>0</v>
      </c>
      <c r="BF13" s="899">
        <f t="shared" si="1"/>
        <v>0</v>
      </c>
      <c r="BG13" s="899">
        <f>IF(ISNUMBER(Datos!K13/Datos!J13),Datos!K13/Datos!J13," - ")</f>
        <v>0.71984924623115576</v>
      </c>
      <c r="BH13" s="903">
        <f>IF(ISNUMBER(((Datos!L13/Datos!K13)*11)/factor_trimestre),((Datos!L13/Datos!K13)*11)/factor_trimestre," - ")</f>
        <v>11.74869109947644</v>
      </c>
      <c r="BI13" s="899">
        <f>IF(ISNUMBER('Resol  Asuntos'!D13/NºAsuntos!G13),'Resol  Asuntos'!D13/NºAsuntos!G13," - ")</f>
        <v>0.33798449612403103</v>
      </c>
      <c r="BJ13" s="899" t="str">
        <f>IF(ISNUMBER(Datos!CI13/Datos!CJ13),Datos!CI13/Datos!CJ13," - ")</f>
        <v xml:space="preserve"> - </v>
      </c>
      <c r="BK13" s="899">
        <f>SUBTOTAL(9,BK8:BK12)</f>
        <v>0</v>
      </c>
      <c r="BL13" s="899" t="str">
        <f>IF(ISNUMBER((I13-AB13+L13)/(F13)),(I13-AB13+L13)/(F13)," - ")</f>
        <v xml:space="preserve"> - </v>
      </c>
      <c r="BM13" s="904">
        <f>SUBTOTAL(9,BM9:BM12)</f>
        <v>4.5513654096228866E-2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296</v>
      </c>
      <c r="G16" s="598">
        <f>IF(ISNUMBER(IF(D_I="SI",Datos!I16,Datos!I16+Datos!AC16)),IF(D_I="SI",Datos!I16,Datos!I16+Datos!AC16)," - ")</f>
        <v>269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782</v>
      </c>
      <c r="AC16" s="226">
        <f>IF(ISNUMBER(Datos!Q16),Datos!Q16," - ")</f>
        <v>39</v>
      </c>
      <c r="AD16" s="334"/>
      <c r="AE16" s="484"/>
      <c r="AF16" s="596">
        <f>IF(ISNUMBER(IF(D_I="SI",Datos!L16,Datos!L16+Datos!AF16)),IF(D_I="SI",Datos!L16,Datos!L16+Datos!AF16)," - ")</f>
        <v>208</v>
      </c>
      <c r="AG16" s="334"/>
      <c r="AH16" s="334"/>
      <c r="AI16" s="334"/>
      <c r="AJ16" s="334"/>
      <c r="AK16" s="334"/>
      <c r="AL16" s="479"/>
      <c r="AM16" s="335">
        <f>IF(ISNUMBER(Datos!R16),Datos!R16," - ")</f>
        <v>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93</v>
      </c>
      <c r="BD16" s="229">
        <f>IF(ISNUMBER(Datos!N16),Datos!N16," - ")</f>
        <v>365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1.1268011527377522</v>
      </c>
      <c r="BH16" s="260">
        <f>IF(ISNUMBER(((IF(D_I="SI",Datos!L16/Datos!K16,(Datos!L16+Datos!AF16)/(Datos!K16+Datos!AE16)))*11)/factor_trimestre),((IF(D_I="SI",Datos!L16/Datos!K16,(Datos!L16+Datos!AF16)/(Datos!K16+Datos!AE16)))*11)/factor_trimestre," - ")</f>
        <v>2.925831202046036</v>
      </c>
      <c r="BI16" s="243">
        <f>IF(ISNUMBER('Resol  Asuntos'!D16/NºAsuntos!G16),'Resol  Asuntos'!D16/NºAsuntos!G16," - ")</f>
        <v>0.11892583120204604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0.90476190476190477</v>
      </c>
      <c r="BH17" s="260">
        <f>IF(ISNUMBER(((IF(D_I="SI",Datos!L17/Datos!K17,(Datos!L17+Datos!AF17)/(Datos!K17+Datos!AE17)))*11)/factor_trimestre),((IF(D_I="SI",Datos!L17/Datos!K17,(Datos!L17+Datos!AF17)/(Datos!K17+Datos!AE17)))*11)/factor_trimestre," - ")</f>
        <v>5.2105263157894735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296</v>
      </c>
      <c r="G18" s="898">
        <f>SUBTOTAL(9,G15:G17)</f>
        <v>276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801</v>
      </c>
      <c r="AC18" s="899">
        <f t="shared" si="4"/>
        <v>39</v>
      </c>
      <c r="AD18" s="899">
        <f t="shared" si="4"/>
        <v>0</v>
      </c>
      <c r="AE18" s="899">
        <f t="shared" si="4"/>
        <v>0</v>
      </c>
      <c r="AF18" s="899">
        <f t="shared" si="4"/>
        <v>217</v>
      </c>
      <c r="AG18" s="899">
        <f t="shared" si="4"/>
        <v>0</v>
      </c>
      <c r="AH18" s="899">
        <f t="shared" si="4"/>
        <v>0</v>
      </c>
      <c r="AI18" s="899">
        <f t="shared" si="4"/>
        <v>0</v>
      </c>
      <c r="AJ18" s="899">
        <f t="shared" si="4"/>
        <v>0</v>
      </c>
      <c r="AK18" s="899">
        <f t="shared" si="4"/>
        <v>0</v>
      </c>
      <c r="AL18" s="899">
        <f t="shared" si="4"/>
        <v>0</v>
      </c>
      <c r="AM18" s="899">
        <f t="shared" si="4"/>
        <v>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v>
      </c>
      <c r="BD18" s="899">
        <f t="shared" si="4"/>
        <v>392</v>
      </c>
      <c r="BE18" s="899">
        <f t="shared" si="4"/>
        <v>0</v>
      </c>
      <c r="BF18" s="899">
        <f t="shared" si="4"/>
        <v>0</v>
      </c>
      <c r="BG18" s="899">
        <f>IF(ISNUMBER(Datos!K18/Datos!J18),Datos!K18/Datos!J18," - ")</f>
        <v>1.1202797202797203</v>
      </c>
      <c r="BH18" s="903">
        <f>IF(ISNUMBER(((Datos!L18/Datos!K18)*11)/factor_trimestre),((Datos!L18/Datos!K18)*11)/factor_trimestre," - ")</f>
        <v>2.9800249687890137</v>
      </c>
      <c r="BI18" s="899">
        <f>SUBTOTAL(9,BI15:BI17)</f>
        <v>0.11892583120204604</v>
      </c>
      <c r="BJ18" s="899">
        <f>SUBTOTAL(9,BJ15:BJ17)</f>
        <v>0</v>
      </c>
      <c r="BK18" s="899">
        <f>SUBTOTAL(9,BK15:BK17)</f>
        <v>0</v>
      </c>
      <c r="BL18" s="899">
        <f>IF(ISNUMBER((I18-AB18+L18)/(F18)),(I18-AB18+L18)/(F18)," - ")</f>
        <v>-2.7060810810810811</v>
      </c>
      <c r="BM18" s="905">
        <f>IF(ISNUMBER((Datos!P18-Datos!Q18)/(Datos!R18-Datos!P18+Datos!Q18)),(Datos!P18-Datos!Q18)/(Datos!R18-Datos!P18+Datos!Q18)," - ")</f>
        <v>-0.3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296</v>
      </c>
      <c r="G19" s="820">
        <f t="shared" si="6"/>
        <v>276</v>
      </c>
      <c r="H19" s="822">
        <f t="shared" si="6"/>
        <v>0</v>
      </c>
      <c r="I19" s="820">
        <f t="shared" si="6"/>
        <v>0</v>
      </c>
      <c r="J19" s="822">
        <f t="shared" si="6"/>
        <v>0</v>
      </c>
      <c r="K19" s="822">
        <f t="shared" si="6"/>
        <v>0</v>
      </c>
      <c r="L19" s="881">
        <f t="shared" si="6"/>
        <v>0</v>
      </c>
      <c r="M19" s="881">
        <f t="shared" si="6"/>
        <v>0</v>
      </c>
      <c r="N19" s="881">
        <f t="shared" si="6"/>
        <v>117</v>
      </c>
      <c r="O19" s="881">
        <f t="shared" si="6"/>
        <v>0</v>
      </c>
      <c r="P19" s="881">
        <f t="shared" si="6"/>
        <v>0</v>
      </c>
      <c r="Q19" s="822">
        <f t="shared" si="6"/>
        <v>252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804</v>
      </c>
      <c r="AC19" s="821">
        <f t="shared" si="7"/>
        <v>220</v>
      </c>
      <c r="AD19" s="821">
        <f t="shared" si="7"/>
        <v>0</v>
      </c>
      <c r="AE19" s="821">
        <f t="shared" si="7"/>
        <v>0</v>
      </c>
      <c r="AF19" s="828">
        <f t="shared" si="7"/>
        <v>217</v>
      </c>
      <c r="AG19" s="828">
        <f t="shared" si="7"/>
        <v>0</v>
      </c>
      <c r="AH19" s="828">
        <f t="shared" si="7"/>
        <v>57</v>
      </c>
      <c r="AI19" s="828">
        <f t="shared" si="7"/>
        <v>0</v>
      </c>
      <c r="AJ19" s="821">
        <f t="shared" si="7"/>
        <v>0</v>
      </c>
      <c r="AK19" s="828">
        <f t="shared" si="7"/>
        <v>0</v>
      </c>
      <c r="AL19" s="828">
        <f t="shared" si="7"/>
        <v>0</v>
      </c>
      <c r="AM19" s="828">
        <f t="shared" si="7"/>
        <v>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311</v>
      </c>
      <c r="BD19" s="820">
        <f t="shared" si="7"/>
        <v>555</v>
      </c>
      <c r="BE19" s="820">
        <f t="shared" si="7"/>
        <v>0</v>
      </c>
      <c r="BF19" s="830">
        <f t="shared" si="7"/>
        <v>0</v>
      </c>
      <c r="BG19" s="915">
        <f>IF(ISNUMBER(Datos!K19/Datos!J19),Datos!K19/Datos!J19," - ")</f>
        <v>0.90933156849768371</v>
      </c>
      <c r="BH19" s="915">
        <f>IF(ISNUMBER(((Datos!L19/Datos!K19)*11)/factor_trimestre),((Datos!L19/Datos!K19)*11)/factor_trimestre," - ")</f>
        <v>6.6368267831149925</v>
      </c>
      <c r="BI19" s="813">
        <f>IF(ISNUMBER(Datos!J19/Datos!I19),Datos!J19/Datos!I19," - ")</f>
        <v>2.2721804511278196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-2.7162162162162162</v>
      </c>
      <c r="BM19" s="889">
        <f>IF(ISNUMBER((Datos!P19-Datos!Q19+R19)/(Datos!R19-Datos!P19+Datos!Q19-R19)),(Datos!P19-Datos!Q19+R19)/(Datos!R19-Datos!P19+Datos!Q19-R19)," - ")</f>
        <v>4.1078305519897301E-2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170.89567968012923</v>
      </c>
      <c r="G21" s="552">
        <f>IF(ISNUMBER(STDEV(G8:G18)),STDEV(G8:G18),"-")</f>
        <v>148.02466010769962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429.06036871284209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97.842049583329285</v>
      </c>
      <c r="BD21" s="551"/>
      <c r="BE21" s="551">
        <f>IF(ISNUMBER(STDEV(BE8:BE18)),STDEV(BE8:BE18),"-")</f>
        <v>0</v>
      </c>
      <c r="BF21" s="556">
        <f>IF(ISNUMBER(STDEV(BF8:BF18)),STDEV(BF8:BF18),"-")</f>
        <v>0</v>
      </c>
      <c r="BG21" s="775">
        <f>IF(ISNUMBER(STDEV(BG8:BG18)),STDEV(BG8:BG18),"-")</f>
        <v>0.18710358854029593</v>
      </c>
      <c r="BH21" s="776">
        <f>IF(ISNUMBER(STDEV(BH8:BH18)),STDEV(BH8:BH18),"-")</f>
        <v>4.8500630998600371</v>
      </c>
      <c r="BI21" s="249">
        <f>IF(ISNUMBER(STDEV(BI8:BI18)),STDEV(BI8:BI18),"-")</f>
        <v>0.14097683723139748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u2p2+My+SJ5IIG30n/+tQIB1zKOnk9LYETAy9zoh4A5x0ndTE2VQrxcvGn9JZLSwA3qmKFNM4zQJqJyyZDYKw==" saltValue="RDUJpmH2V0Z7tKN9zKZ0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SEPULVEDA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181</v>
      </c>
      <c r="AA12" s="332" t="str">
        <f>IF(ISNUMBER(IF(J_V="SI",Datos!L12,Datos!L12+Datos!AB12)-IF(Monitorios="SI",Datos!CD12,0)),
                          IF(J_V="SI",Datos!L12,Datos!L12+Datos!AB12)-IF(Monitorios="SI",Datos!CD12,0),
                          " - ")</f>
        <v xml:space="preserve"> - </v>
      </c>
      <c r="AB12" s="334"/>
      <c r="AC12" s="334"/>
      <c r="AD12" s="484"/>
      <c r="AE12" s="484">
        <f>IF(ISNUMBER(Datos!R12),Datos!R12," - ")</f>
        <v>804</v>
      </c>
      <c r="AF12" s="229" t="str">
        <f>IF(ISNUMBER(Datos!BV12),Datos!BV12," - ")</f>
        <v xml:space="preserve"> - </v>
      </c>
      <c r="AG12" s="225" t="str">
        <f>IF(ISNUMBER(Datos!DV12),Datos!DV12," - ")</f>
        <v xml:space="preserve"> - </v>
      </c>
      <c r="AH12" s="298"/>
      <c r="AI12" s="227"/>
      <c r="AJ12" s="225">
        <f>IF(ISNUMBER(Datos!M12),Datos!M12," - ")</f>
        <v>218</v>
      </c>
      <c r="AK12" s="229">
        <f>IF(ISNUMBER(Datos!N12),Datos!N12," - ")</f>
        <v>161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11.462616822429908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4.5513654096228866E-2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181</v>
      </c>
      <c r="AA13" s="900">
        <f t="shared" si="2"/>
        <v>0</v>
      </c>
      <c r="AB13" s="900">
        <f t="shared" si="2"/>
        <v>0</v>
      </c>
      <c r="AC13" s="900">
        <f t="shared" si="2"/>
        <v>0</v>
      </c>
      <c r="AD13" s="900">
        <f t="shared" si="2"/>
        <v>0</v>
      </c>
      <c r="AE13" s="900">
        <f t="shared" si="2"/>
        <v>804</v>
      </c>
      <c r="AF13" s="908">
        <f t="shared" si="2"/>
        <v>0</v>
      </c>
      <c r="AG13" s="908">
        <f t="shared" si="2"/>
        <v>0</v>
      </c>
      <c r="AH13" s="908">
        <f t="shared" si="2"/>
        <v>0</v>
      </c>
      <c r="AI13" s="908">
        <f t="shared" si="2"/>
        <v>0</v>
      </c>
      <c r="AJ13" s="908">
        <f t="shared" si="2"/>
        <v>218</v>
      </c>
      <c r="AK13" s="908">
        <f t="shared" si="2"/>
        <v>163</v>
      </c>
      <c r="AL13" s="908">
        <f t="shared" si="2"/>
        <v>0</v>
      </c>
      <c r="AM13" s="908">
        <f t="shared" si="2"/>
        <v>0</v>
      </c>
      <c r="AN13" s="908">
        <f t="shared" si="2"/>
        <v>0</v>
      </c>
      <c r="AO13" s="904">
        <f>IF(ISNUMBER(((NºAsuntos!I13/NºAsuntos!G13)*11)/factor_trimestre),((NºAsuntos!I13/NºAsuntos!G13)*11)/factor_trimestre," - ")</f>
        <v>11.409302325581397</v>
      </c>
      <c r="AP13" s="910" t="str">
        <f>IF(ISNUMBER(Datos!CI13/Datos!CJ13),Datos!CI13/Datos!CJ13," - ")</f>
        <v xml:space="preserve"> - </v>
      </c>
      <c r="AQ13" s="928">
        <f t="shared" ref="AQ13:AV13" si="3">SUBTOTAL(9,AQ9:AQ12)</f>
        <v>0</v>
      </c>
      <c r="AR13" s="928">
        <f t="shared" si="3"/>
        <v>4.5513654096228866E-2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296</v>
      </c>
      <c r="G16" s="225">
        <f>IF(ISNUMBER(IF(D_I="SI",Datos!I16,Datos!I16+Datos!AC16)),IF(D_I="SI",Datos!I16,Datos!I16+Datos!AC16)," - ")</f>
        <v>269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782</v>
      </c>
      <c r="Z16" s="619">
        <f>IF(ISNUMBER(Datos!Q16),Datos!Q16," - ")</f>
        <v>39</v>
      </c>
      <c r="AA16" s="332">
        <f>IF(ISNUMBER(IF(D_I="SI",Datos!L16,Datos!L16+Datos!AF16)),IF(D_I="SI",Datos!L16,Datos!L16+Datos!AF16)," - ")</f>
        <v>208</v>
      </c>
      <c r="AB16" s="334"/>
      <c r="AC16" s="334"/>
      <c r="AD16" s="484"/>
      <c r="AE16" s="484">
        <f>IF(ISNUMBER(Datos!R16),Datos!R16," - ")</f>
        <v>7</v>
      </c>
      <c r="AF16" s="229" t="str">
        <f>IF(ISNUMBER(Datos!BV16),Datos!BV16," - ")</f>
        <v xml:space="preserve"> - </v>
      </c>
      <c r="AG16" s="225"/>
      <c r="AH16" s="298"/>
      <c r="AI16" s="227"/>
      <c r="AJ16" s="225">
        <f>IF(ISNUMBER(Datos!M16),Datos!M16," - ")</f>
        <v>93</v>
      </c>
      <c r="AK16" s="229">
        <f>IF(ISNUMBER(Datos!N16),Datos!N16," - ")</f>
        <v>365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2.925831202046036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5.2105263157894735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296</v>
      </c>
      <c r="G18" s="898">
        <f>SUBTOTAL(9,G15:G17)</f>
        <v>276</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801</v>
      </c>
      <c r="Z18" s="932">
        <f t="shared" si="5"/>
        <v>39</v>
      </c>
      <c r="AA18" s="932">
        <f t="shared" si="5"/>
        <v>217</v>
      </c>
      <c r="AB18" s="932">
        <f t="shared" si="5"/>
        <v>0</v>
      </c>
      <c r="AC18" s="932">
        <f t="shared" si="5"/>
        <v>0</v>
      </c>
      <c r="AD18" s="932">
        <f t="shared" si="5"/>
        <v>0</v>
      </c>
      <c r="AE18" s="932">
        <f t="shared" si="5"/>
        <v>7</v>
      </c>
      <c r="AF18" s="932">
        <f t="shared" si="5"/>
        <v>0</v>
      </c>
      <c r="AG18" s="932">
        <f t="shared" si="5"/>
        <v>0</v>
      </c>
      <c r="AH18" s="932">
        <f t="shared" si="5"/>
        <v>0</v>
      </c>
      <c r="AI18" s="932">
        <f t="shared" si="5"/>
        <v>0</v>
      </c>
      <c r="AJ18" s="932">
        <f t="shared" si="5"/>
        <v>93</v>
      </c>
      <c r="AK18" s="932">
        <f t="shared" si="5"/>
        <v>392</v>
      </c>
      <c r="AL18" s="932">
        <f t="shared" si="5"/>
        <v>0</v>
      </c>
      <c r="AM18" s="932">
        <f t="shared" si="5"/>
        <v>0</v>
      </c>
      <c r="AN18" s="932">
        <f t="shared" si="5"/>
        <v>0</v>
      </c>
      <c r="AO18" s="934">
        <f>IF(ISNUMBER(((NºAsuntos!I18/NºAsuntos!G18)*11)/factor_trimestre),((NºAsuntos!I18/NºAsuntos!G18)*11)/factor_trimestre," - ")</f>
        <v>2.9800249687890137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296</v>
      </c>
      <c r="G19" s="820">
        <f t="shared" si="7"/>
        <v>276</v>
      </c>
      <c r="H19" s="821">
        <f t="shared" si="7"/>
        <v>0</v>
      </c>
      <c r="I19" s="820">
        <f t="shared" si="7"/>
        <v>0</v>
      </c>
      <c r="J19" s="822">
        <f t="shared" si="7"/>
        <v>0</v>
      </c>
      <c r="K19" s="820">
        <f t="shared" si="7"/>
        <v>0</v>
      </c>
      <c r="L19" s="823">
        <f t="shared" si="7"/>
        <v>0</v>
      </c>
      <c r="M19" s="820">
        <f t="shared" si="7"/>
        <v>0</v>
      </c>
      <c r="N19" s="821">
        <f t="shared" si="7"/>
        <v>252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804</v>
      </c>
      <c r="Z19" s="827">
        <f t="shared" si="8"/>
        <v>220</v>
      </c>
      <c r="AA19" s="828">
        <f t="shared" si="8"/>
        <v>217</v>
      </c>
      <c r="AB19" s="828">
        <f t="shared" si="8"/>
        <v>0</v>
      </c>
      <c r="AC19" s="828">
        <f t="shared" si="8"/>
        <v>0</v>
      </c>
      <c r="AD19" s="829">
        <f t="shared" si="8"/>
        <v>0</v>
      </c>
      <c r="AE19" s="829">
        <f t="shared" si="8"/>
        <v>811</v>
      </c>
      <c r="AF19" s="830">
        <f t="shared" si="8"/>
        <v>0</v>
      </c>
      <c r="AG19" s="831">
        <f t="shared" si="8"/>
        <v>0</v>
      </c>
      <c r="AH19" s="832">
        <f t="shared" si="8"/>
        <v>0</v>
      </c>
      <c r="AI19" s="830">
        <f t="shared" si="8"/>
        <v>0</v>
      </c>
      <c r="AJ19" s="820">
        <f t="shared" si="8"/>
        <v>311</v>
      </c>
      <c r="AK19" s="820">
        <f t="shared" si="8"/>
        <v>555</v>
      </c>
      <c r="AL19" s="820">
        <f t="shared" si="8"/>
        <v>0</v>
      </c>
      <c r="AM19" s="833">
        <f t="shared" si="8"/>
        <v>0</v>
      </c>
      <c r="AN19" s="823">
        <f>IF(ISNUMBER(Datos!K19/Datos!J19),Datos!K19/Datos!J19," - ")</f>
        <v>0.90933156849768371</v>
      </c>
      <c r="AO19" s="823">
        <f>IF(ISNUMBER(FIND("06",Criterios!A8,1)),(IF(ISNUMBER(((Datos!R19/Datos!Q19)*11)/factor_trimestre),((Datos!R19/Datos!Q19)*11)/factor_trimestre," - ")),(IF(ISNUMBER(((Datos!L19/Datos!K19)*11)/factor_trimestre),((Datos!L19/Datos!K19)*11)/factor_trimestre," - ")))</f>
        <v>6.6368267831149925</v>
      </c>
      <c r="AP19" s="834" t="str">
        <f>IF(ISNUMBER(Datos!CI19/Datos!CJ19),Datos!CI19/Datos!CJ19," - ")</f>
        <v xml:space="preserve"> - </v>
      </c>
      <c r="AQ19" s="834">
        <f>IF(OR(ISNUMBER(FIND("01",Criterios!A8,1)),ISNUMBER(FIND("02",Criterios!A8,1)),ISNUMBER(FIND("03",Criterios!A8,1)),ISNUMBER(FIND("04",Criterios!A8,1))),(J19-Y19+K19)/(F19-K19),(I19-Y19+K19)/(F19-K19))</f>
        <v>-2.7162162162162162</v>
      </c>
      <c r="AR19" s="834">
        <f>IF(ISNUMBER((Datos!P19-Datos!Q19+O19)/(Datos!R19-Datos!P19+Datos!Q19-O19)),(Datos!P19-Datos!Q19+O19)/(Datos!R19-Datos!P19+Datos!Q19-O19)," - ")</f>
        <v>4.1078305519897301E-2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170.89567968012923</v>
      </c>
      <c r="G21" s="552">
        <f>IF(ISNUMBER(STDEV(G8:G18)),STDEV(G8:G18),"-")</f>
        <v>148.02466010769962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97.842049583329285</v>
      </c>
      <c r="AK21" s="252"/>
      <c r="AL21" s="252">
        <f>IF(ISNUMBER(STDEV(AL8:AL18)),STDEV(AL8:AL18),"-")</f>
        <v>0</v>
      </c>
      <c r="AM21" s="254">
        <f>IF(ISNUMBER(STDEV(AM8:AM18)),STDEV(AM8:AM18),"-")</f>
        <v>0</v>
      </c>
      <c r="AN21" s="539">
        <f>IF(ISNUMBER(STDEV(AN8:AN18)),STDEV(AN8:AN18),"-")</f>
        <v>0</v>
      </c>
      <c r="AO21" s="540">
        <f>IF(ISNUMBER(STDEV(AO8:AO18)),STDEV(AO8:AO18),"-")</f>
        <v>4.766975508605265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YhgTQbbU/h4D+5++IhcPRN7sLih1hx+1Lb0ubOfBxfrjcy7IH8hJWJVjHFlP8R0oGsmpit3ltSCIjFeRlNyZQ==" saltValue="JB76YNHqwphHCTrn+z98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BBL/Fb7yR0CfAP1luJsQALZA5ahWAxJ03pOtngc+fRu8CW6blmmCsnPZHiJbeGX+v+ueHUSCxwRsgIu7PkqJQ==" saltValue="geqVExzVR58bZxiTlQ/G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kiZ3x+I+aZocUf7aNdFKM3f0NTiqyph6y3GzLZhoM0los+wMSdF+seoxZw5UbuI9FHjrWQU3KxE0Tkd9hojLA==" saltValue="8P9yaO9uHv9IlOoJD/U2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0.33798449612403103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0.23899112914522072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2iG9m1bs/Snuh5cu5QjAfOtITmvs4OgA00FY98JN/UmRmB654QDpf13HxeAjW2E/sGh0HFA4ceqKQfwDuOjODw==" saltValue="rR1Kfs0wimf+BOoug+vM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nFxnaoYf2VKPLaT0JEYyfVBShxCsBKGfkwb0IEsyFXNp7XKVbi7I7+a6i9Yld5WVYGSS9mztLBOnvbURCijrg==" saltValue="6iZj9pf/sIAJnjeAs4QC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SEPULVEDA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3</v>
      </c>
      <c r="F10" s="404">
        <f>IF(ISNUMBER(E10/B10),E10/B10," - ")</f>
        <v>3</v>
      </c>
      <c r="G10" s="403">
        <f>IF(ISNUMBER(Datos!K10),Datos!K10," - ")</f>
        <v>3</v>
      </c>
      <c r="H10" s="404">
        <f>IF(ISNUMBER(G10/B10),G10/B10," - ")</f>
        <v>3</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401</v>
      </c>
      <c r="D12" s="404">
        <f>IF(ISNUMBER(C12/Datos!BH12),C12/Datos!BH12," - ")</f>
        <v>401</v>
      </c>
      <c r="E12" s="403">
        <f>IF(ISNUMBER(IF(J_V="SI",Datos!J12,Datos!J12+Datos!Z12)),IF(J_V="SI",Datos!J12,Datos!J12+Datos!Z12)," - ")</f>
        <v>910</v>
      </c>
      <c r="F12" s="404">
        <f>IF(ISNUMBER(E12/B12),E12/B12," - ")</f>
        <v>910</v>
      </c>
      <c r="G12" s="403">
        <f>IF(ISNUMBER(IF(J_V="SI",Datos!K12,Datos!K12+Datos!AA12)),IF(J_V="SI",Datos!K12,Datos!K12+Datos!AA12)," - ")</f>
        <v>642</v>
      </c>
      <c r="H12" s="404">
        <f>IF(ISNUMBER(G12/B12),G12/B12," - ")</f>
        <v>642</v>
      </c>
      <c r="I12" s="403">
        <f>IF(ISNUMBER(IF(J_V="SI",Datos!L12,Datos!L12+Datos!AB12)),IF(J_V="SI",Datos!L12,Datos!L12+Datos!AB12)," - ")</f>
        <v>669</v>
      </c>
      <c r="J12" s="404">
        <f>IF(ISNUMBER(I12/B12),I12/B12," - ")</f>
        <v>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401</v>
      </c>
      <c r="D13" s="850" t="str">
        <f>IF(ISNUMBER(C13/Datos!BI13),C13/Datos!BI13," - ")</f>
        <v xml:space="preserve"> - </v>
      </c>
      <c r="E13" s="849">
        <f>SUBTOTAL(9,E8:E12)</f>
        <v>913</v>
      </c>
      <c r="F13" s="850">
        <f>IF(ISNUMBER(E13/B13),E13/B13," - ")</f>
        <v>913</v>
      </c>
      <c r="G13" s="849">
        <f>SUBTOTAL(9,G8:G12)</f>
        <v>645</v>
      </c>
      <c r="H13" s="850">
        <f>IF(ISNUMBER(G13/B13),G13/B13," - ")</f>
        <v>645</v>
      </c>
      <c r="I13" s="849">
        <f>SUBTOTAL(9,I8:I12)</f>
        <v>669</v>
      </c>
      <c r="J13" s="850">
        <f>IF(ISNUMBER(I13/B13),I13/B13," - ")</f>
        <v>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269</v>
      </c>
      <c r="D16" s="404">
        <f>IF(ISNUMBER(C16/Datos!BH16),C16/Datos!BH16," - ")</f>
        <v>269</v>
      </c>
      <c r="E16" s="403">
        <f>IF(ISNUMBER(IF(D_I="SI",Datos!J16,Datos!J16+Datos!AD16)),IF(D_I="SI",Datos!J16,Datos!J16+Datos!AD16)," - ")</f>
        <v>694</v>
      </c>
      <c r="F16" s="404">
        <f>IF(ISNUMBER(E16/B16),E16/B16," - ")</f>
        <v>694</v>
      </c>
      <c r="G16" s="403">
        <f>IF(ISNUMBER(IF(D_I="SI",Datos!K16,Datos!K16+Datos!AE16)),IF(D_I="SI",Datos!K16,Datos!K16+Datos!AE16)," - ")</f>
        <v>782</v>
      </c>
      <c r="H16" s="404">
        <f>IF(ISNUMBER(G16/B16),G16/B16," - ")</f>
        <v>782</v>
      </c>
      <c r="I16" s="403">
        <f>IF(ISNUMBER(IF(D_I="SI",Datos!L16,Datos!L16+Datos!AF16)),IF(D_I="SI",Datos!L16,Datos!L16+Datos!AF16)," - ")</f>
        <v>208</v>
      </c>
      <c r="J16" s="404">
        <f>IF(ISNUMBER(I16/B16),I16/B16," - ")</f>
        <v>208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21</v>
      </c>
      <c r="F17" s="404">
        <f>IF(ISNUMBER(E17/B17),E17/B17," - ")</f>
        <v>21</v>
      </c>
      <c r="G17" s="403">
        <f>IF(ISNUMBER(IF(D_I="SI",Datos!K17,Datos!K17+Datos!AE17)),IF(D_I="SI",Datos!K17,Datos!K17+Datos!AE17)," - ")</f>
        <v>19</v>
      </c>
      <c r="H17" s="404">
        <f>IF(ISNUMBER(G17/B17),G17/B17," - ")</f>
        <v>19</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276</v>
      </c>
      <c r="D18" s="850" t="str">
        <f>IF(ISNUMBER(C18/Datos!BI18),C18/Datos!BI18," - ")</f>
        <v xml:space="preserve"> - </v>
      </c>
      <c r="E18" s="849">
        <f>SUBTOTAL(9,E14:E17)</f>
        <v>715</v>
      </c>
      <c r="F18" s="850">
        <f>IF(ISNUMBER(E18/B18),E18/B18," - ")</f>
        <v>715</v>
      </c>
      <c r="G18" s="849">
        <f>SUBTOTAL(9,G14:G17)</f>
        <v>801</v>
      </c>
      <c r="H18" s="850">
        <f>IF(ISNUMBER(G18/B18),G18/B18," - ")</f>
        <v>801</v>
      </c>
      <c r="I18" s="849">
        <f>SUBTOTAL(9,I14:I17)</f>
        <v>217</v>
      </c>
      <c r="J18" s="850">
        <f>IF(ISNUMBER(I18/B18),I18/B18," - ")</f>
        <v>217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677</v>
      </c>
      <c r="D19" s="795" t="str">
        <f>IF(ISNUMBER(C19/Datos!BI19),C19/Datos!BI19," - ")</f>
        <v xml:space="preserve"> - </v>
      </c>
      <c r="E19" s="794">
        <f>SUBTOTAL(9,E9:E18)</f>
        <v>1628</v>
      </c>
      <c r="F19" s="795">
        <f>IF(ISNUMBER(E19/B19),E19/B19," - ")</f>
        <v>1628</v>
      </c>
      <c r="G19" s="794">
        <f>SUBTOTAL(9,G9:G18)</f>
        <v>1446</v>
      </c>
      <c r="H19" s="795">
        <f>IF(ISNUMBER(G19/B19),G19/B19," - ")</f>
        <v>1446</v>
      </c>
      <c r="I19" s="794">
        <f>SUBTOTAL(9,I9:I18)</f>
        <v>886</v>
      </c>
      <c r="J19" s="795">
        <f>IF(ISNUMBER(I19/B19),I19/B19," - ")</f>
        <v>886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Xljl9zagSoxQ4vAhzcQykB0ZOVVcOltH1+1lplgs0DJ/1byAM9bm01grLMKc8CTVJYezg9vkolKdmDuQSyBgA==" saltValue="fRgU3r5mv3XN9uvo7Z79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SEPULVEDA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218</v>
      </c>
      <c r="AM12" s="690">
        <f>IF(ISNUMBER(Datos!N12+DatosP!N16),Datos!N12+DatosP!N16," - ")</f>
        <v>161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11.462616822429908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4.5513654096228866E-2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181</v>
      </c>
      <c r="AE13" s="939">
        <f t="shared" si="1"/>
        <v>0</v>
      </c>
      <c r="AF13" s="939">
        <f t="shared" si="1"/>
        <v>0</v>
      </c>
      <c r="AG13" s="939">
        <f t="shared" si="1"/>
        <v>0</v>
      </c>
      <c r="AH13" s="939">
        <f t="shared" si="1"/>
        <v>804</v>
      </c>
      <c r="AI13" s="939">
        <f t="shared" si="1"/>
        <v>0</v>
      </c>
      <c r="AJ13" s="939">
        <f t="shared" si="1"/>
        <v>0</v>
      </c>
      <c r="AK13" s="939">
        <f t="shared" si="1"/>
        <v>0</v>
      </c>
      <c r="AL13" s="939">
        <f t="shared" si="1"/>
        <v>218</v>
      </c>
      <c r="AM13" s="939">
        <f t="shared" si="1"/>
        <v>163</v>
      </c>
      <c r="AN13" s="939">
        <f t="shared" si="1"/>
        <v>0</v>
      </c>
      <c r="AO13" s="939">
        <f t="shared" si="1"/>
        <v>0</v>
      </c>
      <c r="AP13" s="944">
        <f>IF(ISNUMBER(((Datos!L13/Datos!K13)*11)/factor_trimestre),((Datos!L13/Datos!K13)*11)/factor_trimestre," - ")</f>
        <v>11.74869109947644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4.5513654096228866E-2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2.9800249687890137</v>
      </c>
      <c r="AQ18" s="944">
        <f>IF(ISNUMBER(((Datos!M18/Datos!L18)*11)/factor_trimestre),((Datos!M18/Datos!L18)*11)/factor_trimestre," - ")</f>
        <v>4.7142857142857144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v>
      </c>
      <c r="AW18" s="946">
        <f>IF(ISNUMBER((Datos!Q18-Datos!R18)/(Datos!S18-Datos!Q18+Datos!R18)),(Datos!Q18-Datos!R18)/(Datos!S18-Datos!Q18+Datos!R18)," - ")</f>
        <v>0.10847457627118644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181</v>
      </c>
      <c r="AE19" s="957">
        <f t="shared" si="5"/>
        <v>0</v>
      </c>
      <c r="AF19" s="958">
        <f t="shared" si="5"/>
        <v>0</v>
      </c>
      <c r="AG19" s="958">
        <f t="shared" si="5"/>
        <v>0</v>
      </c>
      <c r="AH19" s="958">
        <f t="shared" si="5"/>
        <v>804</v>
      </c>
      <c r="AI19" s="958">
        <f t="shared" si="5"/>
        <v>0</v>
      </c>
      <c r="AJ19" s="959">
        <f t="shared" si="5"/>
        <v>0</v>
      </c>
      <c r="AK19" s="959">
        <f t="shared" si="5"/>
        <v>0</v>
      </c>
      <c r="AL19" s="951">
        <f t="shared" si="5"/>
        <v>218</v>
      </c>
      <c r="AM19" s="951">
        <f t="shared" si="5"/>
        <v>163</v>
      </c>
      <c r="AN19" s="951">
        <f t="shared" si="5"/>
        <v>0</v>
      </c>
      <c r="AO19" s="951">
        <f t="shared" si="5"/>
        <v>0</v>
      </c>
      <c r="AP19" s="951">
        <f>IF(ISNUMBER(((Datos!L19/Datos!K19)*11)/factor_trimestre),((Datos!L19/Datos!K19)*11)/factor_trimestre," - ")</f>
        <v>6.6368267831149925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4.1078305519897301E-2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125.86235868333841</v>
      </c>
      <c r="AM21" s="736"/>
      <c r="AN21" s="736">
        <f>IF(ISNUMBER(STDEV(AN8:AN18)),STDEV(AN8:AN18),"-")</f>
        <v>0</v>
      </c>
      <c r="AO21" s="742">
        <f>IF(ISNUMBER(STDEV(AO8:AO18)),STDEV(AO8:AO18),"-")</f>
        <v>0</v>
      </c>
      <c r="AP21" s="779">
        <f>IF(ISNUMBER(STDEV(AP8:AP18)),STDEV(AP8:AP18),"-")</f>
        <v>5.9667801516834551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8zhHufo8aUNS0vMYoJP726lhLyeAz4rXtrOFifwzo7HLPU9ueIBxK30kZOyGFqfDh0NNtke2fVw966qtBPiSA==" saltValue="rSS8EgAHZ6wIGTG6UUfN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SEPULVEDA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Ix5f0Ks4d9MxWhKhbrgxgM7tBlg/KRVQcA1f+a/+OYoaXopt49JkyP5q1DoiIc8LVLJwiejeATpg/Bc0DU5RA==" saltValue="+WhBV9Lf8PE3A9ey6Y3q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SEPULVEDA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218</v>
      </c>
      <c r="E12" s="404">
        <f t="shared" si="0"/>
        <v>218</v>
      </c>
      <c r="F12" s="403">
        <f>IF(ISNUMBER(Datos!N12),Datos!N12," - ")</f>
        <v>161</v>
      </c>
      <c r="G12" s="404">
        <f t="shared" si="1"/>
        <v>161</v>
      </c>
      <c r="H12" s="403">
        <f>IF(ISNUMBER(Datos!O12),Datos!O12," - ")</f>
        <v>285</v>
      </c>
      <c r="I12" s="404">
        <f t="shared" si="2"/>
        <v>285</v>
      </c>
      <c r="BZ12" s="1186">
        <f>Datos!EZ12</f>
        <v>0</v>
      </c>
    </row>
    <row r="13" spans="1:78" ht="14.25" thickTop="1" thickBot="1">
      <c r="A13" s="848" t="str">
        <f>Datos!A13</f>
        <v>TOTAL</v>
      </c>
      <c r="B13" s="849">
        <f>Datos!AP13</f>
        <v>1</v>
      </c>
      <c r="C13" s="851">
        <f>Datos!AR13</f>
        <v>1</v>
      </c>
      <c r="D13" s="849">
        <f>SUBTOTAL(9,D9:D12)</f>
        <v>218</v>
      </c>
      <c r="E13" s="850">
        <f t="shared" si="0"/>
        <v>218</v>
      </c>
      <c r="F13" s="849">
        <f>SUBTOTAL(9,F9:F12)</f>
        <v>163</v>
      </c>
      <c r="G13" s="850">
        <f t="shared" si="1"/>
        <v>163</v>
      </c>
      <c r="H13" s="849">
        <f>SUBTOTAL(9,H9:H12)</f>
        <v>285</v>
      </c>
      <c r="I13" s="850">
        <f>IF(ISNUMBER(H13/B13),H13/B13," - ")</f>
        <v>285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93</v>
      </c>
      <c r="E16" s="404">
        <f t="shared" si="3"/>
        <v>93</v>
      </c>
      <c r="F16" s="403">
        <f>IF(ISNUMBER(Datos!N16),Datos!N16," - ")</f>
        <v>365</v>
      </c>
      <c r="G16" s="404">
        <f t="shared" si="4"/>
        <v>365</v>
      </c>
      <c r="H16" s="403">
        <f>IF(ISNUMBER(Datos!O16),Datos!O16," - ")</f>
        <v>21</v>
      </c>
      <c r="I16" s="404">
        <f t="shared" si="5"/>
        <v>21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93</v>
      </c>
      <c r="E18" s="850">
        <f t="shared" si="3"/>
        <v>93</v>
      </c>
      <c r="F18" s="849">
        <f>SUBTOTAL(9,F15:F17)</f>
        <v>392</v>
      </c>
      <c r="G18" s="850">
        <f t="shared" si="4"/>
        <v>392</v>
      </c>
      <c r="H18" s="849">
        <f>SUBTOTAL(9,H15:H17)</f>
        <v>21</v>
      </c>
      <c r="I18" s="850">
        <f>IF(ISNUMBER(H18/B18),H18/B18," - ")</f>
        <v>21</v>
      </c>
      <c r="BZ18" s="1186"/>
    </row>
    <row r="19" spans="1:78" ht="14.25" thickTop="1" thickBot="1">
      <c r="A19" s="793" t="str">
        <f>Datos!A19</f>
        <v>TOTAL JURISDICCIONES</v>
      </c>
      <c r="B19" s="794">
        <f>Datos!AP19</f>
        <v>1</v>
      </c>
      <c r="C19" s="794">
        <f>Datos!AR19</f>
        <v>1</v>
      </c>
      <c r="D19" s="794">
        <f>SUBTOTAL(9,D8:D18)</f>
        <v>311</v>
      </c>
      <c r="E19" s="795">
        <f>IF(ISNUMBER(D19/B19),D19/B19," - ")</f>
        <v>311</v>
      </c>
      <c r="F19" s="794">
        <f>SUBTOTAL(9,F8:F18)</f>
        <v>555</v>
      </c>
      <c r="G19" s="795">
        <f>IF(ISNUMBER(F19/B19),F19/B19," - ")</f>
        <v>555</v>
      </c>
      <c r="H19" s="794">
        <f>SUBTOTAL(9,H8:H18)</f>
        <v>306</v>
      </c>
      <c r="I19" s="795">
        <f>IF(ISNUMBER(H19/B19),H19/B19," - ")</f>
        <v>306</v>
      </c>
    </row>
    <row r="22" spans="1:78">
      <c r="A22" s="391" t="str">
        <f>Criterios!A4</f>
        <v>Fecha Informe: 28 feb. 2025</v>
      </c>
    </row>
    <row r="27" spans="1:78">
      <c r="A27" s="414"/>
    </row>
  </sheetData>
  <sheetProtection algorithmName="SHA-512" hashValue="CH/oeD/LtexWrn8dBDdvLJDsHy/oOb12oZNJgYpApKwaQF91P4fo2DOsn+9OItsn5WJZibiqP9mNnBwQ77eWhQ==" saltValue="WmXlnOHOYBnxzCfH2Var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SEPULVEDA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216</v>
      </c>
      <c r="C12" s="434">
        <f>IF(ISNUMBER(Datos!Q12),Datos!Q12," - ")</f>
        <v>181</v>
      </c>
      <c r="D12" s="408">
        <f>IF(ISNUMBER(Datos!R12),Datos!R12," - ")</f>
        <v>804</v>
      </c>
    </row>
    <row r="13" spans="1:4" ht="14.25" thickTop="1" thickBot="1">
      <c r="A13" s="848" t="str">
        <f>Datos!A13</f>
        <v>TOTAL</v>
      </c>
      <c r="B13" s="849">
        <f>SUBTOTAL(9,B9:B12)</f>
        <v>216</v>
      </c>
      <c r="C13" s="853">
        <f>SUBTOTAL(9,C9:C12)</f>
        <v>181</v>
      </c>
      <c r="D13" s="851">
        <f>SUBTOTAL(9,D9:D12)</f>
        <v>804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v>
      </c>
      <c r="C16" s="434">
        <f>IF(ISNUMBER(Datos!Q16),Datos!Q16," - ")</f>
        <v>39</v>
      </c>
      <c r="D16" s="408">
        <f>IF(ISNUMBER(Datos!R16),Datos!R16," - ")</f>
        <v>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36</v>
      </c>
      <c r="C18" s="853">
        <f>SUBTOTAL(9,C15:C17)</f>
        <v>39</v>
      </c>
      <c r="D18" s="851">
        <f>SUBTOTAL(9,D15:D17)</f>
        <v>7</v>
      </c>
    </row>
    <row r="19" spans="1:4" ht="16.5" customHeight="1" thickTop="1" thickBot="1">
      <c r="A19" s="793" t="str">
        <f>Datos!A19</f>
        <v>TOTAL JURISDICCIONES</v>
      </c>
      <c r="B19" s="798">
        <f>SUBTOTAL(9,B8:B18)</f>
        <v>252</v>
      </c>
      <c r="C19" s="799">
        <f>SUBTOTAL(9,C8:C18)</f>
        <v>220</v>
      </c>
      <c r="D19" s="800">
        <f>SUBTOTAL(9,D8:D18)</f>
        <v>811</v>
      </c>
    </row>
    <row r="20" spans="1:4" ht="7.5" customHeight="1"/>
    <row r="21" spans="1:4" ht="6" customHeight="1"/>
    <row r="22" spans="1:4">
      <c r="A22" s="391" t="str">
        <f>Criterios!A4</f>
        <v>Fecha Informe: 28 feb. 2025</v>
      </c>
    </row>
    <row r="27" spans="1:4">
      <c r="A27" s="414"/>
    </row>
  </sheetData>
  <sheetProtection algorithmName="SHA-512" hashValue="OM+RQhoUy0m4rgZIw8cuydPeDt4nUuZEocvuEL8LT0U/+NAw7G7UhBPd17T+Fa1QsnbZirXGFJQ4s3nHMTFhew==" saltValue="ylvqo9AqlrO4JzT9xAuL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SEPULVEDA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-0.5</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0.2610062893081761</v>
      </c>
      <c r="C12" s="456">
        <f>IF(ISNUMBER(
   IF(J_V="SI",(Datos!J12-Datos!T12)/Datos!T12,(Datos!J12+Datos!Z12-(Datos!T12+Datos!AH12))/(Datos!T12+Datos!AH12))
     ),IF(J_V="SI",(Datos!J12-Datos!T12)/Datos!T12,(Datos!J12+Datos!Z12-(Datos!T12+Datos!AH12))/(Datos!T12+Datos!AH12))," - ")</f>
        <v>0.3188405797101449</v>
      </c>
      <c r="D12" s="456">
        <f>IF(ISNUMBER(
   IF(J_V="SI",(Datos!K12-Datos!U12)/Datos!U12,(Datos!K12+Datos!AA12-(Datos!U12+Datos!AI12))/(Datos!U12+Datos!AI12))
     ),IF(J_V="SI",(Datos!K12-Datos!U12)/Datos!U12,(Datos!K12+Datos!AA12-(Datos!U12+Datos!AI12))/(Datos!U12+Datos!AI12))," - ")</f>
        <v>5.7660626029654036E-2</v>
      </c>
      <c r="E12" s="456">
        <f>IF(ISNUMBER(
   IF(J_V="SI",(Datos!L12-Datos!V12)/Datos!V12,(Datos!L12+Datos!AB12-(Datos!V12+Datos!AJ12))/(Datos!V12+Datos!AJ12))
     ),IF(J_V="SI",(Datos!L12-Datos!V12)/Datos!V12,(Datos!L12+Datos!AB12-(Datos!V12+Datos!AJ12))/(Datos!V12+Datos!AJ12))," - ")</f>
        <v>0.66832917705735662</v>
      </c>
      <c r="F12" s="456">
        <f>IF(ISNUMBER((Datos!M12-Datos!W12)/Datos!W12),(Datos!M12-Datos!W12)/Datos!W12," - ")</f>
        <v>0.62686567164179108</v>
      </c>
      <c r="G12" s="457">
        <f>IF(ISNUMBER((Datos!N12-Datos!X12)/Datos!X12),(Datos!N12-Datos!X12)/Datos!X12," - ")</f>
        <v>4.5454545454545456E-2</v>
      </c>
      <c r="H12" s="455">
        <f>IF(ISNUMBER(((NºAsuntos!G12/NºAsuntos!E12)-Datos!BD12)/Datos!BD12),((NºAsuntos!G12/NºAsuntos!E12)-Datos!BD12)/Datos!BD12," - ")</f>
        <v>-0.1980375472961963</v>
      </c>
      <c r="I12" s="456">
        <f>IF(ISNUMBER(((NºAsuntos!I12/NºAsuntos!G12)-Datos!BE12)/Datos!BE12),((NºAsuntos!I12/NºAsuntos!G12)-Datos!BE12)/Datos!BE12," - ")</f>
        <v>0.57737665182837306</v>
      </c>
      <c r="J12" s="461">
        <f>IF(ISNUMBER((('Resol  Asuntos'!D12/NºAsuntos!G12)-Datos!BF12)/Datos!BF12),(('Resol  Asuntos'!D12/NºAsuntos!G12)-Datos!BF12)/Datos!BF12," - ")</f>
        <v>0.33841081037342718</v>
      </c>
      <c r="K12" s="462">
        <f>IF(ISNUMBER((((NºAsuntos!C12+NºAsuntos!E12)/NºAsuntos!G12)-Datos!BG12)/Datos!BG12),(((NºAsuntos!C12+NºAsuntos!E12)/NºAsuntos!G12)-Datos!BG12)/Datos!BG12," - ")</f>
        <v>0.22969051327696174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0.23765432098765432</v>
      </c>
      <c r="C13" s="855">
        <f>IF(ISNUMBER(
   IF(J_V="SI",(Datos!J13-Datos!T13)/Datos!T13,(Datos!J13+Datos!Z13-(Datos!T13+Datos!AH13))/(Datos!T13+Datos!AH13))
     ),IF(J_V="SI",(Datos!J13-Datos!T13)/Datos!T13,(Datos!J13+Datos!Z13-(Datos!T13+Datos!AH13))/(Datos!T13+Datos!AH13))," - ")</f>
        <v>0.32318840579710145</v>
      </c>
      <c r="D13" s="855">
        <f>IF(ISNUMBER(
   IF(J_V="SI",(Datos!K13-Datos!U13)/Datos!U13,(Datos!K13+Datos!AA13-(Datos!U13+Datos!AI13))/(Datos!U13+Datos!AI13))
     ),IF(J_V="SI",(Datos!K13-Datos!U13)/Datos!U13,(Datos!K13+Datos!AA13-(Datos!U13+Datos!AI13))/(Datos!U13+Datos!AI13))," - ")</f>
        <v>5.2202283849918436E-2</v>
      </c>
      <c r="E13" s="855">
        <f>IF(ISNUMBER(
   IF(J_V="SI",(Datos!L13-Datos!V13)/Datos!V13,(Datos!L13+Datos!AB13-(Datos!V13+Datos!AJ13))/(Datos!V13+Datos!AJ13))
     ),IF(J_V="SI",(Datos!L13-Datos!V13)/Datos!V13,(Datos!L13+Datos!AB13-(Datos!V13+Datos!AJ13))/(Datos!V13+Datos!AJ13))," - ")</f>
        <v>0.66832917705735662</v>
      </c>
      <c r="F13" s="856">
        <f>IF(ISNUMBER((Datos!M13-Datos!W13)/Datos!W13),(Datos!M13-Datos!W13)/Datos!W13," - ")</f>
        <v>0.62686567164179108</v>
      </c>
      <c r="G13" s="857">
        <f>IF(ISNUMBER((Datos!N13-Datos!X13)/Datos!X13),(Datos!N13-Datos!X13)/Datos!X13," - ")</f>
        <v>5.844155844155844E-2</v>
      </c>
      <c r="H13" s="857">
        <f>IF(ISNUMBER(((NºAsuntos!G13/NºAsuntos!E13)-Datos!BD13)/Datos!BD13),((NºAsuntos!G13/NºAsuntos!E13)-Datos!BD13)/Datos!BD13," - ")</f>
        <v>-0.20479783586369796</v>
      </c>
      <c r="I13" s="857">
        <f>IF(ISNUMBER(((NºAsuntos!I13/NºAsuntos!G13)-Datos!BE13)/Datos!BE13),((NºAsuntos!I13/NºAsuntos!G13)-Datos!BE13)/Datos!BE13," - ")</f>
        <v>0.58555935742040266</v>
      </c>
      <c r="J13" s="857">
        <f>IF(ISNUMBER((('Resol  Asuntos'!D13/NºAsuntos!G13)-Datos!BF13)/Datos!BF13),(('Resol  Asuntos'!D13/NºAsuntos!G13)-Datos!BF13)/Datos!BF13," - ")</f>
        <v>0.34535387093526648</v>
      </c>
      <c r="K13" s="857">
        <f>IF(ISNUMBER((((NºAsuntos!C13+NºAsuntos!E13)/NºAsuntos!G13)-Datos!BG13)/Datos!BG13),(((NºAsuntos!C13+NºAsuntos!E13)/NºAsuntos!G13)-Datos!BG13)/Datos!BG13," - ")</f>
        <v>0.23156735929544517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-0.15937499999999999</v>
      </c>
      <c r="C16" s="456">
        <f>IF(ISNUMBER(
   IF(D_I="SI",(Datos!J16-Datos!T16)/Datos!T16,(Datos!J16+Datos!AD16-(Datos!T16+Datos!AL16))/(Datos!T16+Datos!AL16))
     ),IF(D_I="SI",(Datos!J16-Datos!T16)/Datos!T16,(Datos!J16+Datos!AD16-(Datos!T16+Datos!AL16))/(Datos!T16+Datos!AL16))," - ")</f>
        <v>-6.5948855989232835E-2</v>
      </c>
      <c r="D16" s="456">
        <f>IF(ISNUMBER(
   IF(D_I="SI",(Datos!K16-Datos!U16)/Datos!U16,(Datos!K16+Datos!AE16-(Datos!U16+Datos!AM16))/(Datos!U16+Datos!AM16))
     ),IF(D_I="SI",(Datos!K16-Datos!U16)/Datos!U16,(Datos!K16+Datos!AE16-(Datos!U16+Datos!AM16))/(Datos!U16+Datos!AM16))," - ")</f>
        <v>-3.6945812807881777E-2</v>
      </c>
      <c r="E16" s="456">
        <f>IF(ISNUMBER(
   IF(D_I="SI",(Datos!L16-Datos!V16)/Datos!V16,(Datos!L16+Datos!AF16-(Datos!V16+Datos!AN16))/(Datos!V16+Datos!AN16))
     ),IF(D_I="SI",(Datos!L16-Datos!V16)/Datos!V16,(Datos!L16+Datos!AF16-(Datos!V16+Datos!AN16))/(Datos!V16+Datos!AN16))," - ")</f>
        <v>-0.22676579925650558</v>
      </c>
      <c r="F16" s="456">
        <f>IF(ISNUMBER((Datos!M16-Datos!W16)/Datos!W16),(Datos!M16-Datos!W16)/Datos!W16," - ")</f>
        <v>-0.19130434782608696</v>
      </c>
      <c r="G16" s="457">
        <f>IF(ISNUMBER((Datos!N16-Datos!X16)/Datos!X16),(Datos!N16-Datos!X16)/Datos!X16," - ")</f>
        <v>-7.3604060913705582E-2</v>
      </c>
      <c r="H16" s="455">
        <f>IF(ISNUMBER(((NºAsuntos!G16/NºAsuntos!E16)-Datos!BD16)/Datos!BD16),((NºAsuntos!G16/NºAsuntos!E16)-Datos!BD16)/Datos!BD16," - ")</f>
        <v>3.105080847801717E-2</v>
      </c>
      <c r="I16" s="456">
        <f>IF(ISNUMBER(((NºAsuntos!I16/NºAsuntos!G16)-Datos!BE16)/Datos!BE16),((NºAsuntos!I16/NºAsuntos!G16)-Datos!BE16)/Datos!BE16," - ")</f>
        <v>-0.19710208311545074</v>
      </c>
      <c r="J16" s="461">
        <f>IF(ISNUMBER((('Resol  Asuntos'!D16/NºAsuntos!G16)-Datos!BF16)/Datos!BF16),(('Resol  Asuntos'!D16/NºAsuntos!G16)-Datos!BF16)/Datos!BF16," - ")</f>
        <v>-0.16028021794729225</v>
      </c>
      <c r="K16" s="462">
        <f>IF(ISNUMBER((((NºAsuntos!C16+NºAsuntos!E16)/NºAsuntos!G16)-Datos!BG16)/Datos!BG16),(((NºAsuntos!C16+NºAsuntos!E16)/NºAsuntos!G16)-Datos!BG16)/Datos!BG16," - ")</f>
        <v>-5.9319158969571711E-2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-0.34482758620689657</v>
      </c>
      <c r="E17" s="456">
        <f>IF(ISNUMBER(
   IF(D_I="SI",(Datos!L17-Datos!V17)/Datos!V17,(Datos!L17+Datos!AF17-(Datos!V17+Datos!AN17))/(Datos!V17+Datos!AN17))
     ),IF(D_I="SI",(Datos!L17-Datos!V17)/Datos!V17,(Datos!L17+Datos!AF17-(Datos!V17+Datos!AN17))/(Datos!V17+Datos!AN17))," - ")</f>
        <v>0.2857142857142857</v>
      </c>
      <c r="F17" s="456" t="str">
        <f>IF(ISNUMBER((Datos!M17-Datos!W17)/Datos!W17),(Datos!M17-Datos!W17)/Datos!W17," - ")</f>
        <v xml:space="preserve"> - </v>
      </c>
      <c r="G17" s="457">
        <f>IF(ISNUMBER((Datos!N17-Datos!X17)/Datos!X17),(Datos!N17-Datos!X17)/Datos!X17," - ")</f>
        <v>-0.12903225806451613</v>
      </c>
      <c r="H17" s="455">
        <f>IF(ISNUMBER(((NºAsuntos!G17/NºAsuntos!E17)-Datos!BD17)/Datos!BD17),((NºAsuntos!G17/NºAsuntos!E17)-Datos!BD17)/Datos!BD17," - ")</f>
        <v>-0.12643678160919547</v>
      </c>
      <c r="I17" s="456">
        <f>IF(ISNUMBER(((NºAsuntos!I17/NºAsuntos!G17)-Datos!BE17)/Datos!BE17),((NºAsuntos!I17/NºAsuntos!G17)-Datos!BE17)/Datos!BE17," - ")</f>
        <v>0.96240601503759382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0.22105263157894733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-0.15596330275229359</v>
      </c>
      <c r="C18" s="855">
        <f>IF(ISNUMBER(
   IF(Criterios!B14="SI",(Datos!J18-Datos!T18)/Datos!T18,(Datos!J18+Datos!AD18-(Datos!T18+Datos!AL18))/(Datos!T18+Datos!AL18))
     ),IF(Criterios!B14="SI",(Datos!J18-Datos!T18)/Datos!T18,(Datos!J18+Datos!AD18-(Datos!T18+Datos!AL18))/(Datos!T18+Datos!AL18))," - ")</f>
        <v>-7.2632944228274973E-2</v>
      </c>
      <c r="D18" s="855">
        <f>IF(ISNUMBER(
   IF(Criterios!B14="SI",(Datos!K18-Datos!U18)/Datos!U18,(Datos!K18+Datos!AE18-(Datos!U18+Datos!AM18))/(Datos!U18+Datos!AM18))
     ),IF(Criterios!B14="SI",(Datos!K18-Datos!U18)/Datos!U18,(Datos!K18+Datos!AE18-(Datos!U18+Datos!AM18))/(Datos!U18+Datos!AM18))," - ")</f>
        <v>-4.7562425683709872E-2</v>
      </c>
      <c r="E18" s="855">
        <f>IF(ISNUMBER(
   IF(Criterios!B14="SI",(Datos!L18-Datos!V18)/Datos!V18,(Datos!L18+Datos!AF18-(Datos!V18+Datos!AN18))/(Datos!V18+Datos!AN18))
     ),IF(Criterios!B14="SI",(Datos!L18-Datos!V18)/Datos!V18,(Datos!L18+Datos!AF18-(Datos!V18+Datos!AN18))/(Datos!V18+Datos!AN18))," - ")</f>
        <v>-0.21376811594202899</v>
      </c>
      <c r="F18" s="856">
        <f>IF(ISNUMBER((Datos!M18-Datos!W18)/Datos!W18),(Datos!M18-Datos!W18)/Datos!W18," - ")</f>
        <v>-0.19130434782608696</v>
      </c>
      <c r="G18" s="857">
        <f>IF(ISNUMBER((Datos!N18-Datos!X18)/Datos!X18),(Datos!N18-Datos!X18)/Datos!X18," - ")</f>
        <v>-7.7647058823529416E-2</v>
      </c>
      <c r="H18" s="857">
        <f>IF(ISNUMBER(((NºAsuntos!G18/NºAsuntos!E18)-Datos!BD18)/Datos!BD18),((NºAsuntos!G18/NºAsuntos!E18)-Datos!BD18)/Datos!BD18," - ")</f>
        <v>2.7034083633370343E-2</v>
      </c>
      <c r="I18" s="857">
        <f>IF(ISNUMBER(((NºAsuntos!I18/NºAsuntos!G18)-Datos!BE18)/Datos!BE18),((NºAsuntos!I18/NºAsuntos!G18)-Datos!BE18)/Datos!BE18," - ")</f>
        <v>-0.17450559988420275</v>
      </c>
      <c r="J18" s="857">
        <f>IF(ISNUMBER((('Resol  Asuntos'!D18/NºAsuntos!G18)-Datos!BF18)/Datos!BF18),(('Resol  Asuntos'!D18/NºAsuntos!G18)-Datos!BF18)/Datos!BF18," - ")</f>
        <v>-0.15092004559517996</v>
      </c>
      <c r="K18" s="857">
        <f>IF(ISNUMBER((((NºAsuntos!C18+NºAsuntos!E18)/NºAsuntos!G18)-Datos!BG18)/Datos!BG18),(((NºAsuntos!C18+NºAsuntos!E18)/NºAsuntos!G18)-Datos!BG18)/Datos!BG18," - ")</f>
        <v>-5.2378743328580696E-2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3.9938556067588324E-2</v>
      </c>
      <c r="C19" s="802">
        <f>IF(ISNUMBER(
   IF(J_V="SI",(Datos!J19-Datos!T19)/Datos!T19,(Datos!J19+Datos!Z19-(Datos!T19+Datos!AH19))/(Datos!T19+Datos!AH19))
     ),IF(J_V="SI",(Datos!J19-Datos!T19)/Datos!T19,(Datos!J19+Datos!Z19-(Datos!T19+Datos!AH19))/(Datos!T19+Datos!AH19))," - ")</f>
        <v>0.11430527036276524</v>
      </c>
      <c r="D19" s="802">
        <f>IF(ISNUMBER(
   IF(J_V="SI",(Datos!K19-Datos!U19)/Datos!U19,(Datos!K19+Datos!AA19-(Datos!U19+Datos!AI19))/(Datos!U19+Datos!AI19))
     ),IF(J_V="SI",(Datos!K19-Datos!U19)/Datos!U19,(Datos!K19+Datos!AA19-(Datos!U19+Datos!AI19))/(Datos!U19+Datos!AI19))," - ")</f>
        <v>-5.5020632737276479E-3</v>
      </c>
      <c r="E19" s="802">
        <f>IF(ISNUMBER(
   IF(J_V="SI",(Datos!L19-Datos!V19)/Datos!V19,(Datos!L19+Datos!AB19-(Datos!V19+Datos!AJ19))/(Datos!V19+Datos!AJ19))
     ),IF(J_V="SI",(Datos!L19-Datos!V19)/Datos!V19,(Datos!L19+Datos!AB19-(Datos!V19+Datos!AJ19))/(Datos!V19+Datos!AJ19))," - ")</f>
        <v>0.3087149187592319</v>
      </c>
      <c r="F19" s="803">
        <f>IF(ISNUMBER((Datos!M19-Datos!W19)/Datos!W19),(Datos!M19-Datos!W19)/Datos!W19," - ")</f>
        <v>0.24899598393574296</v>
      </c>
      <c r="G19" s="804">
        <f>IF(ISNUMBER((Datos!N19-Datos!X19)/Datos!X19),(Datos!N19-Datos!X19)/Datos!X19," - ")</f>
        <v>-4.145077720207254E-2</v>
      </c>
      <c r="H19" s="805">
        <f>IF(ISNUMBER((Tasas!B19-Datos!BD19)/Datos!BD19),(Tasas!B19-Datos!BD19)/Datos!BD19," - ")</f>
        <v>-0.10751751501407619</v>
      </c>
      <c r="I19" s="806">
        <f>IF(ISNUMBER((Tasas!C19-Datos!BE19)/Datos!BE19),(Tasas!C19-Datos!BE19)/Datos!BE19," - ")</f>
        <v>0.31595538857256106</v>
      </c>
      <c r="J19" s="807">
        <f>IF(ISNUMBER((Tasas!D19-Datos!BF19)/Datos!BF19),(Tasas!D19-Datos!BF19)/Datos!BF19," - ")</f>
        <v>0.16253014340290109</v>
      </c>
      <c r="K19" s="807">
        <f>IF(ISNUMBER((Tasas!E19-Datos!BG19)/Datos!BG19),(Tasas!E19-Datos!BG19)/Datos!BG19," - ")</f>
        <v>9.7420653631753243E-2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imWG2wtLfVkoFD72pow4qDp7OoAUjhHeYTDS4wVsQYsdWHMoQ1VsXzFC6i5KulBTnH6kzfYvqVeQcnWB3otnw==" saltValue="CZV3fmPXt0IUA7Hb4I2V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SEPULVEDA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0.70549450549450554</v>
      </c>
      <c r="C12" s="443">
        <f>IF(ISNUMBER(NºAsuntos!I12/NºAsuntos!G12),NºAsuntos!I12/NºAsuntos!G12," - ")</f>
        <v>1.0420560747663552</v>
      </c>
      <c r="D12" s="444">
        <f>IF(ISNUMBER('Resol  Asuntos'!D12/NºAsuntos!G12),'Resol  Asuntos'!D12/NºAsuntos!G12," - ")</f>
        <v>0.33956386292834889</v>
      </c>
      <c r="E12" s="445">
        <f>IF(ISNUMBER((NºAsuntos!C12+NºAsuntos!E12)/NºAsuntos!G12),(NºAsuntos!C12+NºAsuntos!E12)/NºAsuntos!G12," - ")</f>
        <v>2.042056074766355</v>
      </c>
      <c r="G12" s="463"/>
    </row>
    <row r="13" spans="1:7" ht="14.25" thickTop="1" thickBot="1">
      <c r="A13" s="848" t="str">
        <f>Datos!A13</f>
        <v>TOTAL</v>
      </c>
      <c r="B13" s="858">
        <f>IF(ISNUMBER(NºAsuntos!G13/NºAsuntos!E13),NºAsuntos!G13/NºAsuntos!E13," - ")</f>
        <v>0.70646221248630892</v>
      </c>
      <c r="C13" s="859">
        <f>IF(ISNUMBER(NºAsuntos!I13/NºAsuntos!G13),NºAsuntos!I13/NºAsuntos!G13," - ")</f>
        <v>1.0372093023255815</v>
      </c>
      <c r="D13" s="860">
        <f>IF(ISNUMBER('Resol  Asuntos'!D13/NºAsuntos!G13),'Resol  Asuntos'!D13/NºAsuntos!G13," - ")</f>
        <v>0.33798449612403103</v>
      </c>
      <c r="E13" s="861">
        <f>IF(ISNUMBER((NºAsuntos!C13+NºAsuntos!E13)/NºAsuntos!G13),(NºAsuntos!C13+NºAsuntos!E13)/NºAsuntos!G13," - ")</f>
        <v>2.0372093023255813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1.1268011527377522</v>
      </c>
      <c r="C16" s="443">
        <f>IF(ISNUMBER(NºAsuntos!I16/NºAsuntos!G16),NºAsuntos!I16/NºAsuntos!G16," - ")</f>
        <v>0.26598465473145783</v>
      </c>
      <c r="D16" s="444">
        <f>IF(ISNUMBER('Resol  Asuntos'!D16/NºAsuntos!G16),'Resol  Asuntos'!D16/NºAsuntos!G16," - ")</f>
        <v>0.11892583120204604</v>
      </c>
      <c r="E16" s="445">
        <f>IF(ISNUMBER((NºAsuntos!C16+NºAsuntos!E16)/NºAsuntos!G16),(NºAsuntos!C16+NºAsuntos!E16)/NºAsuntos!G16," - ")</f>
        <v>1.2314578005115089</v>
      </c>
      <c r="G16" s="463"/>
    </row>
    <row r="17" spans="1:7" ht="13.5" thickBot="1">
      <c r="A17" s="402" t="str">
        <f>Datos!A17</f>
        <v>Jdos. Violencia contra la mujer</v>
      </c>
      <c r="B17" s="442">
        <f>IF(ISNUMBER(NºAsuntos!G17/NºAsuntos!E17),NºAsuntos!G17/NºAsuntos!E17," - ")</f>
        <v>0.90476190476190477</v>
      </c>
      <c r="C17" s="443">
        <f>IF(ISNUMBER(NºAsuntos!I17/NºAsuntos!G17),NºAsuntos!I17/NºAsuntos!G17," - ")</f>
        <v>0.47368421052631576</v>
      </c>
      <c r="D17" s="444">
        <f>IF(ISNUMBER('Resol  Asuntos'!D17/NºAsuntos!G17),'Resol  Asuntos'!D17/NºAsuntos!G17," - ")</f>
        <v>0</v>
      </c>
      <c r="E17" s="445">
        <f>IF(ISNUMBER((NºAsuntos!C17+NºAsuntos!E17)/NºAsuntos!G17),(NºAsuntos!C17+NºAsuntos!E17)/NºAsuntos!G17," - ")</f>
        <v>1.4736842105263157</v>
      </c>
      <c r="G17" s="463"/>
    </row>
    <row r="18" spans="1:7" ht="14.25" thickTop="1" thickBot="1">
      <c r="A18" s="848" t="str">
        <f>Datos!A18</f>
        <v>TOTAL</v>
      </c>
      <c r="B18" s="858">
        <f>IF(ISNUMBER(NºAsuntos!G18/NºAsuntos!E18),NºAsuntos!G18/NºAsuntos!E18," - ")</f>
        <v>1.1202797202797203</v>
      </c>
      <c r="C18" s="859">
        <f>IF(ISNUMBER(NºAsuntos!I18/NºAsuntos!G18),NºAsuntos!I18/NºAsuntos!G18," - ")</f>
        <v>0.27091136079900124</v>
      </c>
      <c r="D18" s="862">
        <f>IF(ISNUMBER('Resol  Asuntos'!D18/NºAsuntos!G18),'Resol  Asuntos'!D18/NºAsuntos!G18," - ")</f>
        <v>0.11610486891385768</v>
      </c>
      <c r="E18" s="861">
        <f>IF(ISNUMBER((NºAsuntos!C18+NºAsuntos!E18)/NºAsuntos!G18),(NºAsuntos!C18+NºAsuntos!E18)/NºAsuntos!G18," - ")</f>
        <v>1.2372034956304618</v>
      </c>
      <c r="G18" s="463"/>
    </row>
    <row r="19" spans="1:7" ht="15.75" customHeight="1" thickTop="1" thickBot="1">
      <c r="A19" s="793" t="str">
        <f>Datos!A19</f>
        <v>TOTAL JURISDICCIONES</v>
      </c>
      <c r="B19" s="808">
        <f>IF(ISNUMBER(NºAsuntos!G19/NºAsuntos!E19),NºAsuntos!G19/NºAsuntos!E19," - ")</f>
        <v>0.8882063882063882</v>
      </c>
      <c r="C19" s="809">
        <f>IF(ISNUMBER(NºAsuntos!I19/NºAsuntos!G19),NºAsuntos!I19/NºAsuntos!G19," - ")</f>
        <v>0.61272475795297376</v>
      </c>
      <c r="D19" s="810">
        <f>IF(ISNUMBER('Resol  Asuntos'!D19/NºAsuntos!G19),'Resol  Asuntos'!D19/NºAsuntos!G19," - ")</f>
        <v>0.21507607192254496</v>
      </c>
      <c r="E19" s="811">
        <f>IF(ISNUMBER((NºAsuntos!C19+NºAsuntos!E19)/NºAsuntos!G19),(NºAsuntos!C19+NºAsuntos!E19)/NºAsuntos!G19," - ")</f>
        <v>1.5940525587828493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IRiBnnUefv7qn4AMEiwRbG27sovyyb8gjazr9Ub1ThYFPVVdmOE6laDtSouJEeWWd7RD3WZyeZ7Y2w3KBtxBA==" saltValue="gxOnHyCOUUD+jqxuSdnk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SEPULVEDA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181</v>
      </c>
      <c r="Y12" s="334">
        <f t="shared" si="0"/>
        <v>181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218</v>
      </c>
      <c r="AJ12" s="229" t="str">
        <f>IF(ISNUMBER(Datos!BW12),Datos!BW12," - ")</f>
        <v xml:space="preserve"> - </v>
      </c>
      <c r="AK12" s="228" t="str">
        <f>IF(ISNUMBER(Datos!BX12),Datos!BX12," - ")</f>
        <v xml:space="preserve"> - </v>
      </c>
      <c r="AL12" s="243">
        <f>IF(ISNUMBER(NºAsuntos!G12/NºAsuntos!E12),NºAsuntos!G12/NºAsuntos!E12," - ")</f>
        <v>0.70549450549450554</v>
      </c>
      <c r="AM12" s="260">
        <f>IF(ISNUMBER(((NºAsuntos!I12/NºAsuntos!G12)*11)/factor_trimestre),((NºAsuntos!I12/NºAsuntos!G12)*11)/factor_trimestre," - ")</f>
        <v>11.462616822429908</v>
      </c>
      <c r="AN12" s="244">
        <f>IF(ISNUMBER('Resol  Asuntos'!D12/NºAsuntos!G12),'Resol  Asuntos'!D12/NºAsuntos!G12," - ")</f>
        <v>0.33956386292834889</v>
      </c>
      <c r="AO12" s="245">
        <f>IF(ISNUMBER((NºAsuntos!C12+NºAsuntos!E12)/NºAsuntos!G12),(NºAsuntos!C12+NºAsuntos!E12)/NºAsuntos!G12," - ")</f>
        <v>2.042056074766355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181</v>
      </c>
      <c r="Y13" s="868">
        <f t="shared" si="4"/>
        <v>184</v>
      </c>
      <c r="Z13" s="868">
        <f t="shared" si="4"/>
        <v>0</v>
      </c>
      <c r="AA13" s="868">
        <f t="shared" si="4"/>
        <v>0</v>
      </c>
      <c r="AB13" s="868">
        <f t="shared" si="4"/>
        <v>804</v>
      </c>
      <c r="AC13" s="868">
        <f t="shared" si="4"/>
        <v>0</v>
      </c>
      <c r="AD13" s="868">
        <f t="shared" si="4"/>
        <v>0</v>
      </c>
      <c r="AE13" s="872">
        <f t="shared" si="4"/>
        <v>0</v>
      </c>
      <c r="AF13" s="865">
        <f t="shared" si="4"/>
        <v>0</v>
      </c>
      <c r="AG13" s="873">
        <f t="shared" si="4"/>
        <v>0</v>
      </c>
      <c r="AH13" s="870">
        <f t="shared" si="4"/>
        <v>0</v>
      </c>
      <c r="AI13" s="865">
        <f t="shared" si="4"/>
        <v>218</v>
      </c>
      <c r="AJ13" s="867">
        <f t="shared" si="4"/>
        <v>0</v>
      </c>
      <c r="AK13" s="870">
        <f>SUBTOTAL(9,AK9:AK12)</f>
        <v>0</v>
      </c>
      <c r="AL13" s="874">
        <f>IF(ISNUMBER(NºAsuntos!G13/NºAsuntos!E13),NºAsuntos!G13/NºAsuntos!E13," - ")</f>
        <v>0.70646221248630892</v>
      </c>
      <c r="AM13" s="874">
        <f>IF(ISNUMBER(((NºAsuntos!I13/NºAsuntos!G13)*11)/factor_trimestre),((NºAsuntos!I13/NºAsuntos!G13)*11)/factor_trimestre," - ")</f>
        <v>11.409302325581397</v>
      </c>
      <c r="AN13" s="875">
        <f>IF(ISNUMBER('Resol  Asuntos'!D13/NºAsuntos!G13),'Resol  Asuntos'!D13/NºAsuntos!G13," - ")</f>
        <v>0.33798449612403103</v>
      </c>
      <c r="AO13" s="876">
        <f>IF(ISNUMBER((NºAsuntos!C13+NºAsuntos!E13)/NºAsuntos!G13),(NºAsuntos!C13+NºAsuntos!E13)/NºAsuntos!G13," - ")</f>
        <v>2.0372093023255813</v>
      </c>
      <c r="AP13" s="877" t="str">
        <f t="shared" si="2"/>
        <v xml:space="preserve"> - </v>
      </c>
      <c r="AQ13" s="877" t="str">
        <f>IF(ISNUMBER((H13-W13+K13)/(F13)),(H13-W13+K13)/(F13)," - ")</f>
        <v xml:space="preserve"> - </v>
      </c>
      <c r="AR13" s="878">
        <f>IF(ISNUMBER((Datos!P13-Datos!Q13)/(Datos!R13-Datos!P13+Datos!Q13)),(Datos!P13-Datos!Q13)/(Datos!R13-Datos!P13+Datos!Q13)," - ")</f>
        <v>4.5513654096228866E-2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296</v>
      </c>
      <c r="G16" s="333">
        <f>IF(ISNUMBER(IF(D_I="SI",Datos!I16,Datos!I16+Datos!AC16)),IF(D_I="SI",Datos!I16,Datos!I16+Datos!AC16)," - ")</f>
        <v>269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782</v>
      </c>
      <c r="X16" s="226">
        <f>IF(ISNUMBER(Datos!Q16),Datos!Q16," - ")</f>
        <v>39</v>
      </c>
      <c r="Y16" s="334">
        <f t="shared" ref="Y16:Y17" si="7">SUM(W16:X16)</f>
        <v>821</v>
      </c>
      <c r="Z16" s="335" t="str">
        <f>IF(ISNUMBER(Datos!CC16),Datos!CC16," - ")</f>
        <v xml:space="preserve"> - </v>
      </c>
      <c r="AA16" s="332">
        <f>IF(ISNUMBER(IF(D_I="SI",Datos!L16,Datos!L16+Datos!AF16)),IF(D_I="SI",Datos!L16,Datos!L16+Datos!AF16)," - ")</f>
        <v>208</v>
      </c>
      <c r="AB16" s="334">
        <f>IF(ISNUMBER(Datos!R16),Datos!R16," - ")</f>
        <v>7</v>
      </c>
      <c r="AC16" s="334">
        <f t="shared" si="6"/>
        <v>215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93</v>
      </c>
      <c r="AJ16" s="231" t="str">
        <f>IF(ISNUMBER(Datos!BW16),Datos!BW16," - ")</f>
        <v xml:space="preserve"> - </v>
      </c>
      <c r="AK16" s="232" t="str">
        <f>IF(ISNUMBER(Datos!BX16),Datos!BX16," - ")</f>
        <v xml:space="preserve"> - </v>
      </c>
      <c r="AL16" s="243">
        <f>IF(ISNUMBER(NºAsuntos!G16/NºAsuntos!E16),NºAsuntos!G16/NºAsuntos!E16," - ")</f>
        <v>1.1268011527377522</v>
      </c>
      <c r="AM16" s="260">
        <f>IF(ISNUMBER(((NºAsuntos!I16/NºAsuntos!G16)*11)/factor_trimestre),((NºAsuntos!I16/NºAsuntos!G16)*11)/factor_trimestre," - ")</f>
        <v>2.925831202046036</v>
      </c>
      <c r="AN16" s="244">
        <f>IF(ISNUMBER('Resol  Asuntos'!D16/NºAsuntos!G16),'Resol  Asuntos'!D16/NºAsuntos!G16," - ")</f>
        <v>0.11892583120204604</v>
      </c>
      <c r="AO16" s="245">
        <f>IF(ISNUMBER((NºAsuntos!C16+NºAsuntos!E16)/NºAsuntos!G16),(NºAsuntos!C16+NºAsuntos!E16)/NºAsuntos!G16," - ")</f>
        <v>1.2314578005115089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0.90476190476190477</v>
      </c>
      <c r="AM17" s="260">
        <f>IF(ISNUMBER(((NºAsuntos!I17/NºAsuntos!G17)*11)/factor_trimestre),((NºAsuntos!I17/NºAsuntos!G17)*11)/factor_trimestre," - ")</f>
        <v>5.2105263157894735</v>
      </c>
      <c r="AN17" s="244">
        <f>IF(ISNUMBER('Resol  Asuntos'!D17/NºAsuntos!G17),'Resol  Asuntos'!D17/NºAsuntos!G17," - ")</f>
        <v>0</v>
      </c>
      <c r="AO17" s="245">
        <f>IF(ISNUMBER((NºAsuntos!C17+NºAsuntos!E17)/NºAsuntos!G17),(NºAsuntos!C17+NºAsuntos!E17)/NºAsuntos!G17," - ")</f>
        <v>1.4736842105263157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296</v>
      </c>
      <c r="G18" s="866">
        <f>SUBTOTAL(9,G15:G17)</f>
        <v>276</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801</v>
      </c>
      <c r="X18" s="867">
        <f t="shared" si="11"/>
        <v>39</v>
      </c>
      <c r="Y18" s="868">
        <f t="shared" si="11"/>
        <v>840</v>
      </c>
      <c r="Z18" s="868">
        <f t="shared" si="11"/>
        <v>0</v>
      </c>
      <c r="AA18" s="868">
        <f t="shared" si="11"/>
        <v>217</v>
      </c>
      <c r="AB18" s="868">
        <f t="shared" si="11"/>
        <v>7</v>
      </c>
      <c r="AC18" s="868">
        <f t="shared" si="11"/>
        <v>224</v>
      </c>
      <c r="AD18" s="868">
        <f t="shared" si="11"/>
        <v>0</v>
      </c>
      <c r="AE18" s="872">
        <f t="shared" si="11"/>
        <v>0</v>
      </c>
      <c r="AF18" s="865">
        <f t="shared" si="11"/>
        <v>0</v>
      </c>
      <c r="AG18" s="873">
        <f t="shared" si="11"/>
        <v>0</v>
      </c>
      <c r="AH18" s="870">
        <f t="shared" si="11"/>
        <v>0</v>
      </c>
      <c r="AI18" s="865">
        <f t="shared" si="11"/>
        <v>93</v>
      </c>
      <c r="AJ18" s="867">
        <f t="shared" si="11"/>
        <v>0</v>
      </c>
      <c r="AK18" s="870">
        <f t="shared" si="11"/>
        <v>0</v>
      </c>
      <c r="AL18" s="874">
        <f>IF(ISNUMBER(NºAsuntos!G18/NºAsuntos!E18),NºAsuntos!G18/NºAsuntos!E18," - ")</f>
        <v>1.1202797202797203</v>
      </c>
      <c r="AM18" s="874">
        <f>IF(ISNUMBER(((NºAsuntos!I18/NºAsuntos!G18)*11)/factor_trimestre),((NºAsuntos!I18/NºAsuntos!G18)*11)/factor_trimestre," - ")</f>
        <v>2.9800249687890137</v>
      </c>
      <c r="AN18" s="875">
        <f>IF(ISNUMBER('Resol  Asuntos'!D18/NºAsuntos!G18),'Resol  Asuntos'!D18/NºAsuntos!G18," - ")</f>
        <v>0.11610486891385768</v>
      </c>
      <c r="AO18" s="876">
        <f>IF(ISNUMBER((NºAsuntos!C18+NºAsuntos!E18)/NºAsuntos!G18),(NºAsuntos!C18+NºAsuntos!E18)/NºAsuntos!G18," - ")</f>
        <v>1.2372034956304618</v>
      </c>
      <c r="AP18" s="877" t="str">
        <f t="shared" si="2"/>
        <v xml:space="preserve"> - </v>
      </c>
      <c r="AQ18" s="877">
        <f>IF(ISNUMBER((H18-W18+K18)/(F18)),(H18-W18+K18)/(F18)," - ")</f>
        <v>-2.7060810810810811</v>
      </c>
      <c r="AR18" s="878">
        <f>IF(ISNUMBER((Datos!P18-Datos!Q18)/(Datos!R18-Datos!P18+Datos!Q18)),(Datos!P18-Datos!Q18)/(Datos!R18-Datos!P18+Datos!Q18)," - ")</f>
        <v>-0.3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296</v>
      </c>
      <c r="G19" s="821">
        <f t="shared" si="13"/>
        <v>276</v>
      </c>
      <c r="H19" s="820">
        <f t="shared" si="13"/>
        <v>0</v>
      </c>
      <c r="I19" s="822">
        <f t="shared" si="13"/>
        <v>0</v>
      </c>
      <c r="J19" s="822">
        <f t="shared" si="13"/>
        <v>0</v>
      </c>
      <c r="K19" s="881">
        <f t="shared" si="13"/>
        <v>0</v>
      </c>
      <c r="L19" s="822">
        <f t="shared" si="13"/>
        <v>252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804</v>
      </c>
      <c r="X19" s="821">
        <f t="shared" si="14"/>
        <v>220</v>
      </c>
      <c r="Y19" s="828">
        <f t="shared" si="14"/>
        <v>1024</v>
      </c>
      <c r="Z19" s="828">
        <f t="shared" si="14"/>
        <v>0</v>
      </c>
      <c r="AA19" s="828">
        <f t="shared" si="14"/>
        <v>217</v>
      </c>
      <c r="AB19" s="828">
        <f t="shared" si="14"/>
        <v>811</v>
      </c>
      <c r="AC19" s="828">
        <f t="shared" si="14"/>
        <v>224</v>
      </c>
      <c r="AD19" s="828">
        <f t="shared" si="14"/>
        <v>0</v>
      </c>
      <c r="AE19" s="830">
        <f t="shared" si="14"/>
        <v>0</v>
      </c>
      <c r="AF19" s="831">
        <f t="shared" si="14"/>
        <v>0</v>
      </c>
      <c r="AG19" s="832">
        <f t="shared" si="14"/>
        <v>0</v>
      </c>
      <c r="AH19" s="830">
        <f t="shared" si="14"/>
        <v>0</v>
      </c>
      <c r="AI19" s="820">
        <f t="shared" si="14"/>
        <v>311</v>
      </c>
      <c r="AJ19" s="820">
        <f t="shared" si="14"/>
        <v>0</v>
      </c>
      <c r="AK19" s="830">
        <f t="shared" si="14"/>
        <v>0</v>
      </c>
      <c r="AL19" s="884">
        <f>IF(ISNUMBER(NºAsuntos!G19/NºAsuntos!E19),NºAsuntos!G19/NºAsuntos!E19," - ")</f>
        <v>0.8882063882063882</v>
      </c>
      <c r="AM19" s="885">
        <f>IF(ISNUMBER(((NºAsuntos!I19/NºAsuntos!G19)*11)/factor_trimestre),((NºAsuntos!I19/NºAsuntos!G19)*11)/factor_trimestre," - ")</f>
        <v>6.7399723374827119</v>
      </c>
      <c r="AN19" s="885">
        <f>IF(ISNUMBER('Resol  Asuntos'!D19/NºAsuntos!G19),'Resol  Asuntos'!D19/NºAsuntos!G19," - ")</f>
        <v>0.21507607192254496</v>
      </c>
      <c r="AO19" s="886">
        <f>IF(ISNUMBER((NºAsuntos!C19+NºAsuntos!E19)/NºAsuntos!G19),(NºAsuntos!C19+NºAsuntos!E19)/NºAsuntos!G19," - ")</f>
        <v>1.5940525587828493</v>
      </c>
      <c r="AP19" s="887" t="str">
        <f t="shared" si="2"/>
        <v xml:space="preserve"> - </v>
      </c>
      <c r="AQ19" s="888">
        <f>IF(OR(ISNUMBER(FIND("01",Criterios!A8,1)),ISNUMBER(FIND("02",Criterios!A8,1)),ISNUMBER(FIND("03",Criterios!A8,1)),ISNUMBER(FIND("04",Criterios!A8,1))),(I19-W19+K19)/(F19-K19),(H19-W19+K19)/(F19-K19))</f>
        <v>-2.7162162162162162</v>
      </c>
      <c r="AR19" s="889">
        <f>IF(ISNUMBER((Datos!P19-Datos!Q19)/(Datos!R19-Datos!P19+Datos!Q19)),(Datos!P19-Datos!Q19)/(Datos!R19-Datos!P19+Datos!Q19)," - ")</f>
        <v>4.1078305519897301E-2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170.89567968012923</v>
      </c>
      <c r="G21" s="253">
        <f>IF(ISNUMBER(STDEV(G8:G18)),STDEV(G8:G18),"-")</f>
        <v>148.02466010769962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429.06036871284209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97.842049583329285</v>
      </c>
      <c r="AJ21" s="252">
        <f t="shared" si="18"/>
        <v>0</v>
      </c>
      <c r="AK21" s="254">
        <f t="shared" si="18"/>
        <v>0</v>
      </c>
      <c r="AL21" s="249">
        <f t="shared" si="18"/>
        <v>0.19015895661610044</v>
      </c>
      <c r="AM21" s="250">
        <f t="shared" si="18"/>
        <v>4.766975508605265</v>
      </c>
      <c r="AN21" s="250">
        <f t="shared" si="18"/>
        <v>0.15385755793431857</v>
      </c>
      <c r="AO21" s="251">
        <f t="shared" si="18"/>
        <v>0.4414091572915137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tN4xF9JPXH4fxsL8vbpXc42+j3X9dAcUHiuz5dPkdGxRXDq7zFyE0R6QsHdJvYDfhAMWWjHH+zCSxgDxIeaqQ==" saltValue="A3D0pNMgA59JrrYvWyx2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SEPULVEDA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-0.5</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0.62686567164179108</v>
      </c>
      <c r="I12" s="350">
        <f>IF(ISNUMBER((Tasas!C12-Datos!BE12)/Datos!BE12),(Tasas!C12-Datos!BE12)/Datos!BE12," - ")</f>
        <v>0.57737665182837306</v>
      </c>
      <c r="J12" s="349">
        <f>IF(ISNUMBER((Tasas!D12-Datos!BF12)/Datos!BF12),(Tasas!D12-Datos!BF12)/Datos!BF12," - ")</f>
        <v>0.33841081037342718</v>
      </c>
      <c r="K12" s="351">
        <f>IF(ISNUMBER((Tasas!E12-Datos!BG12)/Datos!BG12),(Tasas!E12-Datos!BG12)/Datos!BG12," - ")</f>
        <v>0.22969051327696174</v>
      </c>
      <c r="M12" t="e">
        <f>IF(Monitorios="SI",Datos!CE12,0)</f>
        <v>#REF!</v>
      </c>
      <c r="N12" t="e">
        <f>IF(Monitorios="SI",Datos!CF12,0)</f>
        <v>#REF!</v>
      </c>
      <c r="O12" t="e">
        <f>IF(Monitorios="SI",Datos!CG12,0)</f>
        <v>#REF!</v>
      </c>
      <c r="P12" t="e">
        <f>IF(Monitorios="SI",Datos!CH12,0)</f>
        <v>#REF!</v>
      </c>
      <c r="Q12">
        <f>IF(J_V="SI",0,Datos!AG12)</f>
        <v>8</v>
      </c>
      <c r="R12">
        <f>IF(J_V="SI",0,Datos!AH12)</f>
        <v>38</v>
      </c>
      <c r="S12">
        <f>IF(J_V="SI",0,Datos!AI12)</f>
        <v>34</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0.62686567164179108</v>
      </c>
      <c r="I13" s="357">
        <f>IF(ISNUMBER((Tasas!C13-Datos!BE13)/Datos!BE13),(Tasas!C13-Datos!BE13)/Datos!BE13," - ")</f>
        <v>0.58555935742040266</v>
      </c>
      <c r="J13" s="355">
        <f>IF(ISNUMBER((Tasas!D13-Datos!BF13)/Datos!BF13),(Tasas!D13-Datos!BF13)/Datos!BF13," - ")</f>
        <v>0.34535387093526648</v>
      </c>
      <c r="K13" s="358">
        <f>IF(ISNUMBER((Tasas!E13-Datos!BG13)/Datos!BG13),(Tasas!E13-Datos!BG13)/Datos!BG13," - ")</f>
        <v>0.23156735929544517</v>
      </c>
      <c r="M13" t="e">
        <f>IF(Monitorios="SI",Datos!CE13,0)</f>
        <v>#REF!</v>
      </c>
      <c r="N13" t="e">
        <f>IF(Monitorios="SI",Datos!CF13,0)</f>
        <v>#REF!</v>
      </c>
      <c r="O13" t="e">
        <f>IF(Monitorios="SI",Datos!CG13,0)</f>
        <v>#REF!</v>
      </c>
      <c r="P13" t="e">
        <f>IF(Monitorios="SI",Datos!CH13,0)</f>
        <v>#REF!</v>
      </c>
      <c r="Q13">
        <f>IF(J_V="SI",0,Datos!AG13)</f>
        <v>8</v>
      </c>
      <c r="R13">
        <f>IF(J_V="SI",0,Datos!AH13)</f>
        <v>38</v>
      </c>
      <c r="S13">
        <f>IF(J_V="SI",0,Datos!AI13)</f>
        <v>34</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-0.15937499999999999</v>
      </c>
      <c r="E16" s="348">
        <f>IF(ISNUMBER(
   IF(D_I="SI",(Datos!J16-Datos!T16)/Datos!T16,(Datos!J16+Datos!AD16-(Datos!T16+Datos!AL16))/(Datos!T16+Datos!AL16))
     ),IF(D_I="SI",(Datos!J16-Datos!T16)/Datos!T16,(Datos!J16+Datos!AD16-(Datos!T16+Datos!AL16))/(Datos!T16+Datos!AL16))," - ")</f>
        <v>-6.5948855989232835E-2</v>
      </c>
      <c r="F16" s="348">
        <f>IF(ISNUMBER(
   IF(D_I="SI",(Datos!K16-Datos!U16)/Datos!U16,(Datos!K16+Datos!AE16-(Datos!U16+Datos!AM16))/(Datos!U16+Datos!AM16))
     ),IF(D_I="SI",(Datos!K16-Datos!U16)/Datos!U16,(Datos!K16+Datos!AE16-(Datos!U16+Datos!AM16))/(Datos!U16+Datos!AM16))," - ")</f>
        <v>-3.6945812807881777E-2</v>
      </c>
      <c r="G16" s="349">
        <f>IF(ISNUMBER(
   IF(D_I="SI",(Datos!L16-Datos!V16)/Datos!V16,(Datos!L16+Datos!AF16-(Datos!V16+Datos!AN16))/(Datos!V16+Datos!AN16))
     ),IF(D_I="SI",(Datos!L16-Datos!V16)/Datos!V16,(Datos!L16+Datos!AF16-(Datos!V16+Datos!AN16))/(Datos!V16+Datos!AN16))," - ")</f>
        <v>-0.22676579925650558</v>
      </c>
      <c r="H16" s="230">
        <f>IF(ISNUMBER((Datos!M16-Datos!W16)/Datos!W16),(Datos!M16-Datos!W16)/Datos!W16," - ")</f>
        <v>-0.19130434782608696</v>
      </c>
      <c r="I16" s="350">
        <f>IF(ISNUMBER((Tasas!C16-Datos!BE16)/Datos!BE16),(Tasas!C16-Datos!BE16)/Datos!BE16," - ")</f>
        <v>-0.19710208311545074</v>
      </c>
      <c r="J16" s="349">
        <f>IF(ISNUMBER((Tasas!D16-Datos!BF16)/Datos!BF16),(Tasas!D16-Datos!BF16)/Datos!BF16," - ")</f>
        <v>-0.16028021794729225</v>
      </c>
      <c r="K16" s="351">
        <f>IF(ISNUMBER((Tasas!E16-Datos!BG16)/Datos!BG16),(Tasas!E16-Datos!BG16)/Datos!BG16," - ")</f>
        <v>-5.9319158969571711E-2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-0.34482758620689657</v>
      </c>
      <c r="G17" s="349">
        <f>IF(ISNUMBER(
   IF(D_I="SI",(Datos!L17-Datos!V17)/Datos!V17,(Datos!L17+Datos!AF17-(Datos!V17+Datos!AN17))/(Datos!V17+Datos!AN17))
     ),IF(D_I="SI",(Datos!L17-Datos!V17)/Datos!V17,(Datos!L17+Datos!AF17-(Datos!V17+Datos!AN17))/(Datos!V17+Datos!AN17))," - ")</f>
        <v>0.2857142857142857</v>
      </c>
      <c r="H17" s="230" t="str">
        <f>IF(ISNUMBER((Datos!M17-Datos!W17)/Datos!W17),(Datos!M17-Datos!W17)/Datos!W17," - ")</f>
        <v xml:space="preserve"> - </v>
      </c>
      <c r="I17" s="350">
        <f>IF(ISNUMBER((Tasas!C17-Datos!BE17)/Datos!BE17),(Tasas!C17-Datos!BE17)/Datos!BE17," - ")</f>
        <v>0.96240601503759382</v>
      </c>
      <c r="J17" s="349" t="str">
        <f>IF(ISNUMBER((Tasas!D17-Datos!BF17)/Datos!BF17),(Tasas!D17-Datos!BF17)/Datos!BF17," - ")</f>
        <v xml:space="preserve"> - </v>
      </c>
      <c r="K17" s="351">
        <f>IF(ISNUMBER((Tasas!E17-Datos!BG17)/Datos!BG17),(Tasas!E17-Datos!BG17)/Datos!BG17," - ")</f>
        <v>0.22105263157894733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-0.15596330275229359</v>
      </c>
      <c r="E18" s="354">
        <f>IF(ISNUMBER(
   IF(D_I="SI",(Datos!J18-Datos!T18)/Datos!T18,(Datos!J18+Datos!AD18-(Datos!T18+Datos!AL18))/(Datos!T18+Datos!AL18))
     ),IF(D_I="SI",(Datos!J18-Datos!T18)/Datos!T18,(Datos!J18+Datos!AD18-(Datos!T18+Datos!AL18))/(Datos!T18+Datos!AL18))," - ")</f>
        <v>-7.2632944228274973E-2</v>
      </c>
      <c r="F18" s="354">
        <f>IF(ISNUMBER(
   IF(D_I="SI",(Datos!K18-Datos!U18)/Datos!U18,(Datos!K18+Datos!AE18-(Datos!U18+Datos!AM18))/(Datos!U18+Datos!AM18))
     ),IF(D_I="SI",(Datos!K18-Datos!U18)/Datos!U18,(Datos!K18+Datos!AE18-(Datos!U18+Datos!AM18))/(Datos!U18+Datos!AM18))," - ")</f>
        <v>-4.7562425683709872E-2</v>
      </c>
      <c r="G18" s="355">
        <f>IF(ISNUMBER(
   IF(D_I="SI",(Datos!L18-Datos!V18)/Datos!V18,(Datos!L18+Datos!AF18-(Datos!V18+Datos!AN18))/(Datos!V18+Datos!AN18))
     ),IF(D_I="SI",(Datos!L18-Datos!V18)/Datos!V18,(Datos!L18+Datos!AF18-(Datos!V18+Datos!AN18))/(Datos!V18+Datos!AN18))," - ")</f>
        <v>-0.21376811594202899</v>
      </c>
      <c r="H18" s="356">
        <f>IF(ISNUMBER((Datos!M18-Datos!W18)/Datos!W18),(Datos!M18-Datos!W18)/Datos!W18," - ")</f>
        <v>-0.19130434782608696</v>
      </c>
      <c r="I18" s="357">
        <f>IF(ISNUMBER((Tasas!C18-Datos!BE18)/Datos!BE18),(Tasas!C18-Datos!BE18)/Datos!BE18," - ")</f>
        <v>-0.17450559988420275</v>
      </c>
      <c r="J18" s="355">
        <f>IF(ISNUMBER((Tasas!D18-Datos!BF18)/Datos!BF18),(Tasas!D18-Datos!BF18)/Datos!BF18," - ")</f>
        <v>-0.15092004559517996</v>
      </c>
      <c r="K18" s="358">
        <f>IF(ISNUMBER((Tasas!E18-Datos!BG18)/Datos!BG18),(Tasas!E18-Datos!BG18)/Datos!BG18," - ")</f>
        <v>-5.2378743328580696E-2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3.9938556067588324E-2</v>
      </c>
      <c r="E19" s="363">
        <f>IF(ISNUMBER(
   IF(J_V="SI",(Datos!J19-Datos!T19)/Datos!T19,(Datos!J19+Datos!Z19-(Datos!T19+Datos!AH19))/(Datos!T19+Datos!AH19))
     ),IF(J_V="SI",(Datos!J19-Datos!T19)/Datos!T19,(Datos!J19+Datos!Z19-(Datos!T19+Datos!AH19))/(Datos!T19+Datos!AH19))," - ")</f>
        <v>0.11430527036276524</v>
      </c>
      <c r="F19" s="363">
        <f>IF(ISNUMBER(
   IF(J_V="SI",(Datos!K19-Datos!U19)/Datos!U19,(Datos!K19+Datos!AA19-(Datos!U19+Datos!AI19))/(Datos!U19+Datos!AI19))
     ),IF(J_V="SI",(Datos!K19-Datos!U19)/Datos!U19,(Datos!K19+Datos!AA19-(Datos!U19+Datos!AI19))/(Datos!U19+Datos!AI19))," - ")</f>
        <v>-5.5020632737276479E-3</v>
      </c>
      <c r="G19" s="364">
        <f>IF(ISNUMBER(
   IF(J_V="SI",(Datos!L19-Datos!V19)/Datos!V19,(Datos!L19+Datos!AB19-(Datos!V19+Datos!AJ19))/(Datos!V19+Datos!AJ19))
     ),IF(J_V="SI",(Datos!L19-Datos!V19)/Datos!V19,(Datos!L19+Datos!AB19-(Datos!V19+Datos!AJ19))/(Datos!V19+Datos!AJ19))," - ")</f>
        <v>0.3087149187592319</v>
      </c>
      <c r="H19" s="365">
        <f>IF(ISNUMBER((Datos!M19-Datos!W19)/Datos!W19),(Datos!M19-Datos!W19)/Datos!W19," - ")</f>
        <v>0.24899598393574296</v>
      </c>
      <c r="I19" s="362">
        <f>IF(ISNUMBER((Tasas!C19-Datos!BE19)/Datos!BE19),(Tasas!C19-Datos!BE19)/Datos!BE19," - ")</f>
        <v>0.31595538857256106</v>
      </c>
      <c r="J19" s="363">
        <f>IF(ISNUMBER((Tasas!D19-Datos!BF19)/Datos!BF19),(Tasas!D19-Datos!BF19)/Datos!BF19," - ")</f>
        <v>0.16253014340290109</v>
      </c>
      <c r="K19" s="364">
        <f>IF(ISNUMBER((Tasas!E19-Datos!BG19)/Datos!BG19),(Tasas!E19-Datos!BG19)/Datos!BG19," - ")</f>
        <v>9.7420653631753243E-2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0.45357697977983202</v>
      </c>
      <c r="E21" s="278">
        <f t="shared" si="1"/>
        <v>0.10438596099762783</v>
      </c>
      <c r="F21" s="278">
        <f t="shared" si="1"/>
        <v>0.22848557420781396</v>
      </c>
      <c r="G21" s="279">
        <f t="shared" si="1"/>
        <v>0.29220068640906516</v>
      </c>
      <c r="H21" s="285">
        <f t="shared" si="1"/>
        <v>0.47237068098266072</v>
      </c>
      <c r="I21" s="277">
        <f t="shared" si="1"/>
        <v>0.51396826373751026</v>
      </c>
      <c r="J21" s="278">
        <f t="shared" si="1"/>
        <v>0.28726104262434898</v>
      </c>
      <c r="K21" s="279">
        <f t="shared" si="1"/>
        <v>0.14645222987928155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d+qLwct2A2Sy6jOOjjmPQb2TY1sqBJIftK8SHZAGfKb2U0+Fh5RWGFuqmJF3NnmoCdHsFtHoVSglr/bP0BaLQ==" saltValue="l6reypXlZX0BtIGtvoIE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